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102026" sheetId="2" r:id="rId6"/>
    <sheet state="visible" name="T92026" sheetId="3" r:id="rId7"/>
    <sheet state="visible" name="T82026" sheetId="4" r:id="rId8"/>
    <sheet state="visible" name="T72026" sheetId="5" r:id="rId9"/>
    <sheet state="visible" name="T62026" sheetId="6" r:id="rId10"/>
    <sheet state="visible" name="T52026" sheetId="7" r:id="rId11"/>
    <sheet state="visible" name="T42026" sheetId="8" r:id="rId12"/>
    <sheet state="visible" name="T32026" sheetId="9" r:id="rId13"/>
    <sheet state="visible" name="T22026" sheetId="10" r:id="rId14"/>
    <sheet state="visible" name="T12026" sheetId="11" r:id="rId15"/>
    <sheet state="visible" name="T122025" sheetId="12" r:id="rId16"/>
    <sheet state="visible" name="T112025" sheetId="13" r:id="rId17"/>
    <sheet state="visible" name="T102025" sheetId="14" r:id="rId18"/>
    <sheet state="visible" name="T92025" sheetId="15" r:id="rId19"/>
    <sheet state="visible" name="T82025" sheetId="16" r:id="rId20"/>
    <sheet state="visible" name="T72025" sheetId="17" r:id="rId21"/>
    <sheet state="visible" name="T62025" sheetId="18" r:id="rId22"/>
    <sheet state="visible" name="T52025" sheetId="19" r:id="rId23"/>
    <sheet state="visible" name="T42025" sheetId="20" r:id="rId24"/>
    <sheet state="visible" name="T32025" sheetId="21" r:id="rId25"/>
    <sheet state="visible" name="T22025" sheetId="22" r:id="rId26"/>
    <sheet state="visible" name="T12025" sheetId="23" r:id="rId2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tc={42ba34c4-e87a-4960-b47e-953fbebbb797}</author>
  </authors>
  <commentList>
    <comment authorId="0" xr:uid="{42ba34c4-e87a-4960-b47e-953fbebbb7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Tính đúng với số tháng hiện tại bằng hoặc bé hơn 1 so với số tháng chỉ định ở ô I6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4">
      <text>
        <t xml:space="preserve">Claude Code 500k
Odysseus server 180k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Khoa 33k</t>
      </text>
    </comment>
    <comment authorId="0" ref="C20">
      <text>
        <t xml:space="preserve">Long: 20k
Khoa: 18k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7">
      <text>
        <t xml:space="preserve">Trung Vo
Khoa
Tai
Trong
Toan</t>
      </text>
    </comment>
    <comment authorId="0" ref="C74">
      <text>
        <t xml:space="preserve">Huynh Anh
Trong
Khoa
Toan</t>
      </text>
    </comment>
    <comment authorId="0" ref="C135">
      <text>
        <t xml:space="preserve">Long: 19k (Lipton)
Khoa: 55k (cf sữa)
Thien: 62k (nước ép ổi)
Toan: 59k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5">
      <text>
        <t xml:space="preserve">Dua tac: 26
Rau ma duong: 54
Tra duong: 50
Tra duong: 53
Da chanh: 70
Cam ep: 54</t>
      </text>
    </comment>
  </commentList>
</comments>
</file>

<file path=xl/sharedStrings.xml><?xml version="1.0" encoding="utf-8"?>
<sst xmlns="http://schemas.openxmlformats.org/spreadsheetml/2006/main" count="6605" uniqueCount="911">
  <si>
    <t>To pay back</t>
  </si>
  <si>
    <t>Monthly payment</t>
  </si>
  <si>
    <t>Trả chị Diễm</t>
  </si>
  <si>
    <t>Owner</t>
  </si>
  <si>
    <t>Amount (N)</t>
  </si>
  <si>
    <t>Name</t>
  </si>
  <si>
    <t>Charge date</t>
  </si>
  <si>
    <t>Đợt</t>
  </si>
  <si>
    <t>Số tiền</t>
  </si>
  <si>
    <t>Ngày</t>
  </si>
  <si>
    <t>Shinhan</t>
  </si>
  <si>
    <t>YouTube Premium</t>
  </si>
  <si>
    <t>Gonsa</t>
  </si>
  <si>
    <t>Vinaphone 4G</t>
  </si>
  <si>
    <t>To earn back</t>
  </si>
  <si>
    <t>Debtors</t>
  </si>
  <si>
    <t>Reason</t>
  </si>
  <si>
    <t>Khôi</t>
  </si>
  <si>
    <t>Lost</t>
  </si>
  <si>
    <t>Nguyệt</t>
  </si>
  <si>
    <t>Bảo</t>
  </si>
  <si>
    <t>Tổng</t>
  </si>
  <si>
    <t>/ 50000</t>
  </si>
  <si>
    <t xml:space="preserve"> </t>
  </si>
  <si>
    <t>DATE</t>
  </si>
  <si>
    <t>SPENT FOR</t>
  </si>
  <si>
    <t>AMOUNT</t>
  </si>
  <si>
    <t>TYPE</t>
  </si>
  <si>
    <t>EARN BY</t>
  </si>
  <si>
    <t>Trả Thiên</t>
  </si>
  <si>
    <t>Trả tiền mượn sinh hoạt</t>
  </si>
  <si>
    <t>Lương T9 + Dư T9</t>
  </si>
  <si>
    <t>Trả A Khoa</t>
  </si>
  <si>
    <t>Help Bảo</t>
  </si>
  <si>
    <t>Support</t>
  </si>
  <si>
    <t>Trả tín dụng</t>
  </si>
  <si>
    <t>Trả Phúc</t>
  </si>
  <si>
    <t>Đổ xăng</t>
  </si>
  <si>
    <t>Thiết yếu</t>
  </si>
  <si>
    <t>Lê Trang</t>
  </si>
  <si>
    <t>Living expense</t>
  </si>
  <si>
    <t>Cho Má</t>
  </si>
  <si>
    <t>Tiền ăn ba má</t>
  </si>
  <si>
    <t>Tạp hóa</t>
  </si>
  <si>
    <t>Claude Code</t>
  </si>
  <si>
    <t>Công việc</t>
  </si>
  <si>
    <t>Trả cô Ánh</t>
  </si>
  <si>
    <t>HBO Max</t>
  </si>
  <si>
    <t>Credit</t>
  </si>
  <si>
    <t>Total earn</t>
  </si>
  <si>
    <t>Ăn trưa</t>
  </si>
  <si>
    <t>Total spent</t>
  </si>
  <si>
    <t>Sửa xe</t>
  </si>
  <si>
    <t>Untrack spent</t>
  </si>
  <si>
    <t>Bún riêu</t>
  </si>
  <si>
    <t>Saving</t>
  </si>
  <si>
    <t>Nước ngọt</t>
  </si>
  <si>
    <t>Remaining</t>
  </si>
  <si>
    <t>Cơm gà Lê Trang</t>
  </si>
  <si>
    <t>Remaining (- liabilities)</t>
  </si>
  <si>
    <t>Nước bình</t>
  </si>
  <si>
    <t>Grab</t>
  </si>
  <si>
    <t>Category</t>
  </si>
  <si>
    <t>Estimated</t>
  </si>
  <si>
    <t>Actual</t>
  </si>
  <si>
    <t>Tiền điện Trà Vinh</t>
  </si>
  <si>
    <t>Tiền nhà</t>
  </si>
  <si>
    <t>Planned/actual spend per category of this month</t>
  </si>
  <si>
    <t>Tiền điện Cần Thơ</t>
  </si>
  <si>
    <t>Finalize</t>
  </si>
  <si>
    <t>Reserve</t>
  </si>
  <si>
    <t>Trả Ly</t>
  </si>
  <si>
    <t>Special</t>
  </si>
  <si>
    <t>Sum</t>
  </si>
  <si>
    <t>Hủ tiếu</t>
  </si>
  <si>
    <t>Toàn HBO Max</t>
  </si>
  <si>
    <t>Sức khỏe</t>
  </si>
  <si>
    <t>Dịch vụ</t>
  </si>
  <si>
    <t>Lương T8 + Dư T8</t>
  </si>
  <si>
    <t>A Bảo support</t>
  </si>
  <si>
    <t>Jolibee</t>
  </si>
  <si>
    <t>Thiên Help</t>
  </si>
  <si>
    <t>Cơm cho Má</t>
  </si>
  <si>
    <t>Má cho mượn</t>
  </si>
  <si>
    <t>Trả Khang</t>
  </si>
  <si>
    <t>A Khoa cho mượn</t>
  </si>
  <si>
    <t>Khám bệnh cho Má</t>
  </si>
  <si>
    <t>Highland</t>
  </si>
  <si>
    <t>Má cho</t>
  </si>
  <si>
    <t>Ăn sáng</t>
  </si>
  <si>
    <t>Má mượn cho</t>
  </si>
  <si>
    <t>Ăn chiều</t>
  </si>
  <si>
    <t>Bảo cho</t>
  </si>
  <si>
    <t>Ăn tối</t>
  </si>
  <si>
    <t>Phúc help</t>
  </si>
  <si>
    <t>Khám bệnh cho Ba</t>
  </si>
  <si>
    <t>Bánh mì</t>
  </si>
  <si>
    <t>Ăn trưa với Má</t>
  </si>
  <si>
    <t>Mua sắm siêu thị</t>
  </si>
  <si>
    <t>Taxi về quê</t>
  </si>
  <si>
    <t>Nạp 4G cho Má</t>
  </si>
  <si>
    <t>Parent</t>
  </si>
  <si>
    <t>Bún nem nướng</t>
  </si>
  <si>
    <t>Game</t>
  </si>
  <si>
    <t>Vé phim</t>
  </si>
  <si>
    <t>Cơm</t>
  </si>
  <si>
    <t>Trung Nguyên Vincom</t>
  </si>
  <si>
    <t>Nước rạp phim</t>
  </si>
  <si>
    <t>Help Ly</t>
  </si>
  <si>
    <t>Cafe</t>
  </si>
  <si>
    <t>Genshin</t>
  </si>
  <si>
    <t>Net</t>
  </si>
  <si>
    <t>Đồ chiên</t>
  </si>
  <si>
    <t>Taxi</t>
  </si>
  <si>
    <t>Trà</t>
  </si>
  <si>
    <t>Tiền Wifi</t>
  </si>
  <si>
    <t>Đặt cơm</t>
  </si>
  <si>
    <t>Fahasha</t>
  </si>
  <si>
    <t>Ăn chiều cơm gà</t>
  </si>
  <si>
    <t>Chi tiêu ngày sinh nhật</t>
  </si>
  <si>
    <t>Nước</t>
  </si>
  <si>
    <t>Áo Rocket</t>
  </si>
  <si>
    <t>Order ăn chiều</t>
  </si>
  <si>
    <t>Ăn sáng BV</t>
  </si>
  <si>
    <t>Order ăn trưa</t>
  </si>
  <si>
    <t>Netflix</t>
  </si>
  <si>
    <t>Ăn sáng (trường CNTT)</t>
  </si>
  <si>
    <t>The 80s</t>
  </si>
  <si>
    <t>Cơm phần</t>
  </si>
  <si>
    <t>Tiền kết lễ</t>
  </si>
  <si>
    <t>Bột chiên</t>
  </si>
  <si>
    <t>HIghland</t>
  </si>
  <si>
    <t>Súp</t>
  </si>
  <si>
    <t>Bánh</t>
  </si>
  <si>
    <t>Ăn tối Jollibee</t>
  </si>
  <si>
    <t>Tiền nước Cần Thơ</t>
  </si>
  <si>
    <t>Cà phê</t>
  </si>
  <si>
    <t>Sâm</t>
  </si>
  <si>
    <t>Gởi Má</t>
  </si>
  <si>
    <t>Sinh tố</t>
  </si>
  <si>
    <t>Pizza</t>
  </si>
  <si>
    <t>Đi chợ</t>
  </si>
  <si>
    <t>Phúc trả tiền ăn</t>
  </si>
  <si>
    <t>Nạp Vina</t>
  </si>
  <si>
    <t>Cháo</t>
  </si>
  <si>
    <t>Cơm trưa</t>
  </si>
  <si>
    <t>Bò kho</t>
  </si>
  <si>
    <t>Nước shopee</t>
  </si>
  <si>
    <t>Circle K</t>
  </si>
  <si>
    <t>Order Jollibee</t>
  </si>
  <si>
    <t>Party team</t>
  </si>
  <si>
    <t>Thuốc</t>
  </si>
  <si>
    <t>GS25</t>
  </si>
  <si>
    <t>Bò lá lốt</t>
  </si>
  <si>
    <t>Mua tã</t>
  </si>
  <si>
    <t>Lương T7 + Dư T7</t>
  </si>
  <si>
    <t>Sữa</t>
  </si>
  <si>
    <t>Lương Ba</t>
  </si>
  <si>
    <t>Má gởi</t>
  </si>
  <si>
    <t>Bảo gởi</t>
  </si>
  <si>
    <t>Cơm gà</t>
  </si>
  <si>
    <t>Khang help</t>
  </si>
  <si>
    <t>Tiền thưởng của Ba</t>
  </si>
  <si>
    <t>Bún riêu cho Má</t>
  </si>
  <si>
    <t>Khám bệnh</t>
  </si>
  <si>
    <t>Tiền điện</t>
  </si>
  <si>
    <t>WiFi</t>
  </si>
  <si>
    <t>Tiền kết</t>
  </si>
  <si>
    <t>GO</t>
  </si>
  <si>
    <t>Sách</t>
  </si>
  <si>
    <t>Trả tiền ăn cty</t>
  </si>
  <si>
    <t>Đặt vé phim</t>
  </si>
  <si>
    <t>Cơm chiều</t>
  </si>
  <si>
    <t>Hớt tóc</t>
  </si>
  <si>
    <t>Ăn cơm với Má</t>
  </si>
  <si>
    <t>Bún bò</t>
  </si>
  <si>
    <t>Ăn Há Cảo</t>
  </si>
  <si>
    <t>Cơm bò Lê Trang</t>
  </si>
  <si>
    <t>Tiền nước</t>
  </si>
  <si>
    <t>Cháo cho Ba</t>
  </si>
  <si>
    <t>Fake chat</t>
  </si>
  <si>
    <t>Tiêu dùng</t>
  </si>
  <si>
    <t>Grok</t>
  </si>
  <si>
    <t>Bánh bao</t>
  </si>
  <si>
    <t>Vé xe</t>
  </si>
  <si>
    <t>Claude Pro</t>
  </si>
  <si>
    <t>Xe ghép</t>
  </si>
  <si>
    <t>Lẩu</t>
  </si>
  <si>
    <t>Bạc xỉu</t>
  </si>
  <si>
    <t>Server</t>
  </si>
  <si>
    <t>Buy</t>
  </si>
  <si>
    <t>Mua sắm siêu thị GO</t>
  </si>
  <si>
    <t>Mua tên miền</t>
  </si>
  <si>
    <t>Màu,  bút, giấy</t>
  </si>
  <si>
    <t>Mua vé Supergirl</t>
  </si>
  <si>
    <t>Lương T6 + Dư T6</t>
  </si>
  <si>
    <t>Help Ly sinh hoạt</t>
  </si>
  <si>
    <t>Bún cá T6</t>
  </si>
  <si>
    <t>Bảo gởi Gonsa</t>
  </si>
  <si>
    <t>Khang support</t>
  </si>
  <si>
    <t>Milo</t>
  </si>
  <si>
    <t>Phúc</t>
  </si>
  <si>
    <t>Bảo support</t>
  </si>
  <si>
    <t>Order gỏi cuốn</t>
  </si>
  <si>
    <t>Mà cho</t>
  </si>
  <si>
    <t>Klara and The Sun Book</t>
  </si>
  <si>
    <t>Rút tín dụng</t>
  </si>
  <si>
    <t>KFC</t>
  </si>
  <si>
    <t>Internet</t>
  </si>
  <si>
    <t>Relax Coffee</t>
  </si>
  <si>
    <t>Khám bệnh Ba Má</t>
  </si>
  <si>
    <t>Bún đậu</t>
  </si>
  <si>
    <t>Trà đường</t>
  </si>
  <si>
    <t>Order cơm chiều</t>
  </si>
  <si>
    <t>Trả tiền sủi cầu</t>
  </si>
  <si>
    <t>Mua vé Phương Trang cho Má</t>
  </si>
  <si>
    <t xml:space="preserve">Circle K </t>
  </si>
  <si>
    <t>Pizza ăn khuya</t>
  </si>
  <si>
    <t>Ăn buffet với Huy</t>
  </si>
  <si>
    <t>Huy trả Buffet</t>
  </si>
  <si>
    <t>Cho Má khám bệnh</t>
  </si>
  <si>
    <t>Coffee</t>
  </si>
  <si>
    <t>Tiền nhà cho Ly</t>
  </si>
  <si>
    <t>Bò né với Má</t>
  </si>
  <si>
    <t>Uống nước</t>
  </si>
  <si>
    <t>Tiền nhà T7</t>
  </si>
  <si>
    <t>Ăn cơm</t>
  </si>
  <si>
    <t>Bảo trả</t>
  </si>
  <si>
    <t>Trả Gonsa</t>
  </si>
  <si>
    <t>Cơm gà Kim</t>
  </si>
  <si>
    <t>Cơm sườn</t>
  </si>
  <si>
    <t>Ăn cơm trưa</t>
  </si>
  <si>
    <t>Súp + Thuốc cho Má</t>
  </si>
  <si>
    <t>Lẩu cua</t>
  </si>
  <si>
    <t>Discord Nitro</t>
  </si>
  <si>
    <t>Red Bull</t>
  </si>
  <si>
    <t>Vệ sinh máy giặt</t>
  </si>
  <si>
    <t>Mì</t>
  </si>
  <si>
    <t>Vé xe PT</t>
  </si>
  <si>
    <t>Xăng</t>
  </si>
  <si>
    <t>Nạp 4G</t>
  </si>
  <si>
    <t>Order há cảo</t>
  </si>
  <si>
    <t>Thuốc cho Má</t>
  </si>
  <si>
    <t>Bò kho cho Má</t>
  </si>
  <si>
    <t>Đi chơi</t>
  </si>
  <si>
    <t>Trà tắc</t>
  </si>
  <si>
    <t>Thien 12</t>
  </si>
  <si>
    <t>Ăn tối với Má</t>
  </si>
  <si>
    <t>Lương T5</t>
  </si>
  <si>
    <t>Trả quỹ Shinhan</t>
  </si>
  <si>
    <t>Bảo trả Gonsa</t>
  </si>
  <si>
    <t>Mượn quỹ Shinhan</t>
  </si>
  <si>
    <t>Circle K (khăn giấy, nước ngọt)</t>
  </si>
  <si>
    <t>Gộp quỹ Shinhan</t>
  </si>
  <si>
    <t>Futa hoàn tiền</t>
  </si>
  <si>
    <t>Cho Má tiền ăn</t>
  </si>
  <si>
    <t>Cơm Tuần Cường</t>
  </si>
  <si>
    <t>Thùng xốp + gởi đồ cho Ly</t>
  </si>
  <si>
    <t>Trà sữa</t>
  </si>
  <si>
    <t>Đổ xăng cho Ly</t>
  </si>
  <si>
    <t>Ăn chay</t>
  </si>
  <si>
    <t>Party Rocket</t>
  </si>
  <si>
    <t>Ăn tối w/ Ly</t>
  </si>
  <si>
    <t>Mua Aseprite tặng Ly (QP)</t>
  </si>
  <si>
    <t>Ăn chiều w/ Ly</t>
  </si>
  <si>
    <t>Bánh tráng</t>
  </si>
  <si>
    <t>Thuốc cho Ly</t>
  </si>
  <si>
    <t>Gởi má Khám bệnh</t>
  </si>
  <si>
    <t>Ăn sáng (+ba, ly)</t>
  </si>
  <si>
    <t>Quỹ Shinhan</t>
  </si>
  <si>
    <t>30Shine</t>
  </si>
  <si>
    <t>Ăn bún chả</t>
  </si>
  <si>
    <t>Chợ đêm</t>
  </si>
  <si>
    <t>Popeyes</t>
  </si>
  <si>
    <t>Cacao</t>
  </si>
  <si>
    <t>Truyện Doraemon</t>
  </si>
  <si>
    <t>Ăn tối w/ nhà</t>
  </si>
  <si>
    <t>Gởi xe máy cho Ly</t>
  </si>
  <si>
    <t>CellphoneS (tai nghe cho Ly, chống sốc)</t>
  </si>
  <si>
    <t>Thuốc say xe</t>
  </si>
  <si>
    <t>Taxi ra bx</t>
  </si>
  <si>
    <t>Khách sạn</t>
  </si>
  <si>
    <t>Trạm dừng chân</t>
  </si>
  <si>
    <t>Ăn cơm chiều</t>
  </si>
  <si>
    <t>Mua đồ cho Ly</t>
  </si>
  <si>
    <t>Bánh canh tối</t>
  </si>
  <si>
    <t>Bách hóa Xanh</t>
  </si>
  <si>
    <t>Khẩu trang</t>
  </si>
  <si>
    <t>Gà rán</t>
  </si>
  <si>
    <t>Tiền trọ</t>
  </si>
  <si>
    <t>Phí cầu đường</t>
  </si>
  <si>
    <t>Cho Ly</t>
  </si>
  <si>
    <t>Đi Lâm Đồng</t>
  </si>
  <si>
    <t>Minecraft Dungeons</t>
  </si>
  <si>
    <t>Smoothie</t>
  </si>
  <si>
    <t>Winmart+</t>
  </si>
  <si>
    <t>Gỏi cuốn</t>
  </si>
  <si>
    <t>Sữa Nutri</t>
  </si>
  <si>
    <t>Yame quần áo</t>
  </si>
  <si>
    <t>Du lịch</t>
  </si>
  <si>
    <t>Massage</t>
  </si>
  <si>
    <t>Trả Toàn</t>
  </si>
  <si>
    <t>Làm tóc</t>
  </si>
  <si>
    <t>Ăn chiều w/ Má</t>
  </si>
  <si>
    <t>Order cơm gà Lê Trang</t>
  </si>
  <si>
    <t>Ăn khuya</t>
  </si>
  <si>
    <t>Vé phim Siêu Gái</t>
  </si>
  <si>
    <t>Nạp 3G</t>
  </si>
  <si>
    <t>Ăn tối w/ CHTV</t>
  </si>
  <si>
    <t>Xem phim</t>
  </si>
  <si>
    <t>Circke K</t>
  </si>
  <si>
    <t>Lương T4 + dư cuối T4</t>
  </si>
  <si>
    <t>Thầy tặng</t>
  </si>
  <si>
    <t>Má gởi lại</t>
  </si>
  <si>
    <t>Mượn Quỹ Shinhan</t>
  </si>
  <si>
    <t>Mua máy cạo</t>
  </si>
  <si>
    <t>Gởi Má khám bệnh</t>
  </si>
  <si>
    <t>Salon</t>
  </si>
  <si>
    <t>Rửa xe</t>
  </si>
  <si>
    <t>Sữa milo</t>
  </si>
  <si>
    <t>Phim</t>
  </si>
  <si>
    <t>Donate</t>
  </si>
  <si>
    <t>Bánh tráng cho Má</t>
  </si>
  <si>
    <t>YouTube</t>
  </si>
  <si>
    <t>Sao kê</t>
  </si>
  <si>
    <t>Xem phim w/ Phúc</t>
  </si>
  <si>
    <t>Ăn</t>
  </si>
  <si>
    <t>Đánh cầu</t>
  </si>
  <si>
    <t>Trả Cô Hai giùm A Bảo</t>
  </si>
  <si>
    <t>Qũy Shinhan</t>
  </si>
  <si>
    <t>Ăn Hào</t>
  </si>
  <si>
    <t>Ăn vặt bến Ninh Kiều</t>
  </si>
  <si>
    <t>Hủ tiếu mức</t>
  </si>
  <si>
    <t>Cơm tối</t>
  </si>
  <si>
    <t>Winmart+ (nước, bàn chải, bánh)</t>
  </si>
  <si>
    <t>Nước Cần Thơ</t>
  </si>
  <si>
    <t>Trả cầu lông thứ 5</t>
  </si>
  <si>
    <t>Ăn chay với Má</t>
  </si>
  <si>
    <t>Mua vé Phương Trang</t>
  </si>
  <si>
    <t>Ăn cơm tối</t>
  </si>
  <si>
    <t>Cầu lông</t>
  </si>
  <si>
    <t>Ăn sáng ba má</t>
  </si>
  <si>
    <t>Vé số</t>
  </si>
  <si>
    <t>Kem</t>
  </si>
  <si>
    <t>Sửa ổ khóa</t>
  </si>
  <si>
    <t>Ăn tối w/ Phúc</t>
  </si>
  <si>
    <t>One Piece volume 110</t>
  </si>
  <si>
    <t>Nước ngọt + nước suối</t>
  </si>
  <si>
    <t>Claude</t>
  </si>
  <si>
    <t>Bánh cho Má</t>
  </si>
  <si>
    <t>Lương T3 + dư cuối T3</t>
  </si>
  <si>
    <t>Help Nhi</t>
  </si>
  <si>
    <t>Trả Tú pizza, nước</t>
  </si>
  <si>
    <t>Gym</t>
  </si>
  <si>
    <t>Thầy Thái gởi thuế</t>
  </si>
  <si>
    <t>Siêu thị</t>
  </si>
  <si>
    <t>Texas</t>
  </si>
  <si>
    <t>Order cơm gà</t>
  </si>
  <si>
    <t>FShare</t>
  </si>
  <si>
    <t>Remote</t>
  </si>
  <si>
    <t>Order súp</t>
  </si>
  <si>
    <t>Order</t>
  </si>
  <si>
    <t>Hủ tiếu chay</t>
  </si>
  <si>
    <t>Resource pack</t>
  </si>
  <si>
    <t>Cơm niêu</t>
  </si>
  <si>
    <t>Cây lau nhà</t>
  </si>
  <si>
    <t>Khám bênh cho Ba</t>
  </si>
  <si>
    <t>Hớt tóc cho Ba</t>
  </si>
  <si>
    <t>Xin lễ</t>
  </si>
  <si>
    <t>Há cảo</t>
  </si>
  <si>
    <t>Trả party Rocket</t>
  </si>
  <si>
    <t>Trả đồ nướng</t>
  </si>
  <si>
    <t>Bánh tráng nướng</t>
  </si>
  <si>
    <t>Nộp thuế</t>
  </si>
  <si>
    <t>Tax</t>
  </si>
  <si>
    <t>Hào</t>
  </si>
  <si>
    <t>Vina</t>
  </si>
  <si>
    <t>Lặt vặt</t>
  </si>
  <si>
    <t>ShopeeFood</t>
  </si>
  <si>
    <t>Lương T2 + dư cuối T1</t>
  </si>
  <si>
    <t>A Trung lì xì</t>
  </si>
  <si>
    <t>Shopee hoàn tiền</t>
  </si>
  <si>
    <t>Papaya hoàn tiền</t>
  </si>
  <si>
    <t>Lương của Ba</t>
  </si>
  <si>
    <t>LEGO</t>
  </si>
  <si>
    <t>Trả tín dung</t>
  </si>
  <si>
    <t>Mua quạt</t>
  </si>
  <si>
    <t>Hot dog</t>
  </si>
  <si>
    <t>Order cơm ếch</t>
  </si>
  <si>
    <t>Mua đồ lăn lông áo</t>
  </si>
  <si>
    <t>Sandwich</t>
  </si>
  <si>
    <t>Minecraft cards</t>
  </si>
  <si>
    <t>Order há cáo</t>
  </si>
  <si>
    <t>Order shopee</t>
  </si>
  <si>
    <t>TH True Milk</t>
  </si>
  <si>
    <t>Order cơm</t>
  </si>
  <si>
    <t>Patreon</t>
  </si>
  <si>
    <t>Hàu</t>
  </si>
  <si>
    <t>Nươc ngọt</t>
  </si>
  <si>
    <t>AI</t>
  </si>
  <si>
    <t>Bánh xèo</t>
  </si>
  <si>
    <t>Bách hóa xanh</t>
  </si>
  <si>
    <t>Nhà nghỉ</t>
  </si>
  <si>
    <t>Viện phí BV Tâm Anh</t>
  </si>
  <si>
    <t>Bảo lãnh</t>
  </si>
  <si>
    <t>Nạp Vinaphone</t>
  </si>
  <si>
    <t>Trả Tú tiền nước</t>
  </si>
  <si>
    <t>Đồ xăng</t>
  </si>
  <si>
    <t>Bún bò trưa</t>
  </si>
  <si>
    <t>Lẩu gà</t>
  </si>
  <si>
    <t>Gỏi cuối</t>
  </si>
  <si>
    <t>Lương T1</t>
  </si>
  <si>
    <t>JICA Bonus</t>
  </si>
  <si>
    <t>Cho Má + lì xì</t>
  </si>
  <si>
    <t>Ăn trưa quán nước</t>
  </si>
  <si>
    <t>Lương thưởng</t>
  </si>
  <si>
    <t>Đám cưới anh Nghĩa</t>
  </si>
  <si>
    <t>Đám cưới</t>
  </si>
  <si>
    <t>Tín dụng</t>
  </si>
  <si>
    <t>Trả máy hút bụi</t>
  </si>
  <si>
    <t>Bạn của Ba giúp</t>
  </si>
  <si>
    <t>Giúp chi hội</t>
  </si>
  <si>
    <t>Lì xì</t>
  </si>
  <si>
    <t>A Ngộ lì xì</t>
  </si>
  <si>
    <t>Ăn phở</t>
  </si>
  <si>
    <t>Sâm bổ</t>
  </si>
  <si>
    <t>Dây đồng hồ</t>
  </si>
  <si>
    <t>Help Nguyệt</t>
  </si>
  <si>
    <t>Winmart</t>
  </si>
  <si>
    <t>Minecraft mod</t>
  </si>
  <si>
    <t>Điện Trà Vinh</t>
  </si>
  <si>
    <t>Điện Cần Thơ</t>
  </si>
  <si>
    <t>Trả a Khoa</t>
  </si>
  <si>
    <t>KitKat</t>
  </si>
  <si>
    <t>Wifi</t>
  </si>
  <si>
    <t>Sữa trái cây</t>
  </si>
  <si>
    <t>Phụ mua đồ ăn nhà mợ Hai</t>
  </si>
  <si>
    <t>Nước suối</t>
  </si>
  <si>
    <t>Khoai mỡ</t>
  </si>
  <si>
    <t>Nạp vinaphone</t>
  </si>
  <si>
    <t>Mua bàn</t>
  </si>
  <si>
    <t>Nước Saigon Water</t>
  </si>
  <si>
    <t>Bò né</t>
  </si>
  <si>
    <t>Sửa đt cho Ba</t>
  </si>
  <si>
    <t>Ốp lưng</t>
  </si>
  <si>
    <t>Deal shopee food</t>
  </si>
  <si>
    <t>Youtube</t>
  </si>
  <si>
    <t>Ốp lưng cho Má</t>
  </si>
  <si>
    <t>Kính cho Má</t>
  </si>
  <si>
    <t>Bún thái</t>
  </si>
  <si>
    <t>Nệm</t>
  </si>
  <si>
    <t>Ăn hào</t>
  </si>
  <si>
    <t>Nạp Viettel</t>
  </si>
  <si>
    <t>Taxi về Trà Vinh</t>
  </si>
  <si>
    <t>Bún nước lèo</t>
  </si>
  <si>
    <t>Trái cây</t>
  </si>
  <si>
    <t>Phở</t>
  </si>
  <si>
    <t>Cho Út, cho Sáu</t>
  </si>
  <si>
    <t>Pizza (chờ hoàn tiền)</t>
  </si>
  <si>
    <t>Nhà hàng chay Tịnh Bình</t>
  </si>
  <si>
    <t>Ăn trưa cơm niêu</t>
  </si>
  <si>
    <t>Đồ  xăng</t>
  </si>
  <si>
    <t>Bơm xe</t>
  </si>
  <si>
    <t>Snack</t>
  </si>
  <si>
    <t>Cơm ếch</t>
  </si>
  <si>
    <t>Lương T12</t>
  </si>
  <si>
    <t>Trả Credit</t>
  </si>
  <si>
    <t>Credit debt</t>
  </si>
  <si>
    <t>Khang debt</t>
  </si>
  <si>
    <t>Travel</t>
  </si>
  <si>
    <t>Thuốc cho Ba</t>
  </si>
  <si>
    <t>Vớ</t>
  </si>
  <si>
    <t>Dép cho Má</t>
  </si>
  <si>
    <t>Massage Má</t>
  </si>
  <si>
    <t>Nhanh Thạch</t>
  </si>
  <si>
    <t>Rent</t>
  </si>
  <si>
    <t>Thuốc đau đầu</t>
  </si>
  <si>
    <t>Thuốc huyết áp</t>
  </si>
  <si>
    <t>Bánh canh</t>
  </si>
  <si>
    <t>Fahasha (Giá đỡ lịch, móc dán, đồ chơi)</t>
  </si>
  <si>
    <t>Lịch cuốn</t>
  </si>
  <si>
    <t>Tua vít</t>
  </si>
  <si>
    <t>Nạp game</t>
  </si>
  <si>
    <t>Lẩu bò</t>
  </si>
  <si>
    <t>Rửa xe + cà phê</t>
  </si>
  <si>
    <t>Máy hút bụi</t>
  </si>
  <si>
    <t>Trà oolong</t>
  </si>
  <si>
    <t>Vinaphone</t>
  </si>
  <si>
    <t>Gemini</t>
  </si>
  <si>
    <t>Quỹ Rocket</t>
  </si>
  <si>
    <t>Chơ cho Má</t>
  </si>
  <si>
    <t>Fshare</t>
  </si>
  <si>
    <t>Cuối T11</t>
  </si>
  <si>
    <t>Lương T11</t>
  </si>
  <si>
    <t>Quà tặng thầy Thái</t>
  </si>
  <si>
    <t>Bảo gởi tiền cưới</t>
  </si>
  <si>
    <t>Trả Credit Kienlong Bank</t>
  </si>
  <si>
    <t>23-24-28/12/2025</t>
  </si>
  <si>
    <t>Sữa ensure</t>
  </si>
  <si>
    <t>Help people</t>
  </si>
  <si>
    <t>Estimate remaining</t>
  </si>
  <si>
    <t>Remaining without cost</t>
  </si>
  <si>
    <t>Đưa má tiền đám cưới</t>
  </si>
  <si>
    <t>Other</t>
  </si>
  <si>
    <t>Trả tiền nước cho Tú</t>
  </si>
  <si>
    <t>Wedding</t>
  </si>
  <si>
    <t>An trả</t>
  </si>
  <si>
    <t>Help cậu 2</t>
  </si>
  <si>
    <t>Đi đám cưới TV</t>
  </si>
  <si>
    <t>Donation</t>
  </si>
  <si>
    <t>Trả tiền cơm a Khoa</t>
  </si>
  <si>
    <t>Trả credit</t>
  </si>
  <si>
    <t>Sữa Ensure</t>
  </si>
  <si>
    <t>Dầu gội</t>
  </si>
  <si>
    <t>Movie</t>
  </si>
  <si>
    <t>Mì cay với Phúc</t>
  </si>
  <si>
    <t>Google One</t>
  </si>
  <si>
    <t>Tiền nước Trà Vinh</t>
  </si>
  <si>
    <t>Ngọc Yến 3</t>
  </si>
  <si>
    <t>Hamburger</t>
  </si>
  <si>
    <t>Uống nước bờ kè</t>
  </si>
  <si>
    <t>Cuối T10</t>
  </si>
  <si>
    <t>Lương T10</t>
  </si>
  <si>
    <t>Kienlong Bank</t>
  </si>
  <si>
    <t>Ba</t>
  </si>
  <si>
    <t>Sữa Ensure Gold</t>
  </si>
  <si>
    <t>Gởi Má tiền ăn</t>
  </si>
  <si>
    <t>Help Nhi TV</t>
  </si>
  <si>
    <t>Nhi trả</t>
  </si>
  <si>
    <t>Nhà thờ</t>
  </si>
  <si>
    <t>Taxi khám bệnh cho Ba</t>
  </si>
  <si>
    <t>Thuốc cảm, khẩu trang</t>
  </si>
  <si>
    <t>Sekiro</t>
  </si>
  <si>
    <t>Yame</t>
  </si>
  <si>
    <t>Sủi C</t>
  </si>
  <si>
    <t>Shopee (bọc bài, thảm, lót chuột)</t>
  </si>
  <si>
    <t>Trả Credit Kienlongbank (Game)</t>
  </si>
  <si>
    <t>Sữa Milo</t>
  </si>
  <si>
    <t>Fahasha (Uno)</t>
  </si>
  <si>
    <t>Uno No Mercy Steam</t>
  </si>
  <si>
    <t>Tiền nước T11</t>
  </si>
  <si>
    <t>Gonsa T11</t>
  </si>
  <si>
    <t>Gởi má tiền ăn</t>
  </si>
  <si>
    <t>Ăn trưa w/ team</t>
  </si>
  <si>
    <t>Gemini AI</t>
  </si>
  <si>
    <t>Gà cho má</t>
  </si>
  <si>
    <t>Thuốc cảm</t>
  </si>
  <si>
    <t>Ăn gỏi cuốn</t>
  </si>
  <si>
    <t>Help Má</t>
  </si>
  <si>
    <t>Trả tín dụng KienlongBank</t>
  </si>
  <si>
    <t>Cuối T9</t>
  </si>
  <si>
    <t>Trả tiền thuê xe tải</t>
  </si>
  <si>
    <t>Lương T9</t>
  </si>
  <si>
    <t>Help A Bảo</t>
  </si>
  <si>
    <t>Tiền điện nước Thanh Duy House</t>
  </si>
  <si>
    <t>Tiền nước Rocket</t>
  </si>
  <si>
    <t>Mượn Ba</t>
  </si>
  <si>
    <t>GS25 trưa</t>
  </si>
  <si>
    <t>Điện</t>
  </si>
  <si>
    <t>Game GOW</t>
  </si>
  <si>
    <t>Ensure Gold</t>
  </si>
  <si>
    <t>Rocket fund</t>
  </si>
  <si>
    <t>Help friend</t>
  </si>
  <si>
    <t>Credit debt T10</t>
  </si>
  <si>
    <t>Viện phí (khám, xét nghiệm, thuốc)</t>
  </si>
  <si>
    <t>Dịch vụ BV</t>
  </si>
  <si>
    <t>Thay kiếng xe</t>
  </si>
  <si>
    <t>Trả credit Kienlong Bank</t>
  </si>
  <si>
    <t>Youtube Premium</t>
  </si>
  <si>
    <t>Tiền nhà T10</t>
  </si>
  <si>
    <t>Nước T10</t>
  </si>
  <si>
    <t>Bún w/ Rocket</t>
  </si>
  <si>
    <t>Bàn phím</t>
  </si>
  <si>
    <t>Mua lặt vặt</t>
  </si>
  <si>
    <t>Cuối tháng 8</t>
  </si>
  <si>
    <t>Lương tháng 8</t>
  </si>
  <si>
    <t>Shopee Pay Later</t>
  </si>
  <si>
    <t>Kienlong Bank Credit</t>
  </si>
  <si>
    <t>Ba má support</t>
  </si>
  <si>
    <t>Bảo Gonsa</t>
  </si>
  <si>
    <t>Jica bonus</t>
  </si>
  <si>
    <t>Bảo dưỡng xe Hồng Đức</t>
  </si>
  <si>
    <t>Tiền kết nhà thờ</t>
  </si>
  <si>
    <t>Tặng cô năm</t>
  </si>
  <si>
    <t>Bảo Netflix</t>
  </si>
  <si>
    <t>Tú Netflix</t>
  </si>
  <si>
    <t>Vé phim Mưa đỏ</t>
  </si>
  <si>
    <t>Kim Anh Netflix</t>
  </si>
  <si>
    <t>Bắp rang</t>
  </si>
  <si>
    <t>Naruto</t>
  </si>
  <si>
    <t>Sữa Fami</t>
  </si>
  <si>
    <t>Mua ghế Ngô Gia</t>
  </si>
  <si>
    <t>Help Vương</t>
  </si>
  <si>
    <t>Phạt nước Rocket</t>
  </si>
  <si>
    <t>Vương trả</t>
  </si>
  <si>
    <t>Ăn vặt tối</t>
  </si>
  <si>
    <t>Cọc tiền nhà</t>
  </si>
  <si>
    <t>Toàn trả</t>
  </si>
  <si>
    <t>Order nước</t>
  </si>
  <si>
    <t>Trả Kienlongbank Credit</t>
  </si>
  <si>
    <t>Minecraft Superman</t>
  </si>
  <si>
    <t>Ăn vặt</t>
  </si>
  <si>
    <t>Nước thùng</t>
  </si>
  <si>
    <t>Debt</t>
  </si>
  <si>
    <t>Góp Trung Thu</t>
  </si>
  <si>
    <t>Đậu nành</t>
  </si>
  <si>
    <t>Cọc tiền nhà + tiền nhà trọ mới T9</t>
  </si>
  <si>
    <t>Thùng giấy</t>
  </si>
  <si>
    <t>Nước Trà Vinh</t>
  </si>
  <si>
    <t>Chuyển trọ</t>
  </si>
  <si>
    <t>Ga nệm</t>
  </si>
  <si>
    <t>Wifi FPT</t>
  </si>
  <si>
    <t>BHX</t>
  </si>
  <si>
    <t>Giặt ủi</t>
  </si>
  <si>
    <t>Ăn uống trưa w/ team</t>
  </si>
  <si>
    <t>Nệm cho ba má</t>
  </si>
  <si>
    <t>Cuối tháng 7</t>
  </si>
  <si>
    <t>Credit shopee</t>
  </si>
  <si>
    <t>Lương tháng 7</t>
  </si>
  <si>
    <t>Help Kim Anh</t>
  </si>
  <si>
    <t>FE cho Bảo</t>
  </si>
  <si>
    <t>FE debt</t>
  </si>
  <si>
    <t>Kienlong Bank debt</t>
  </si>
  <si>
    <t>Ăn tối w/ Kim Anh</t>
  </si>
  <si>
    <t>Steam game</t>
  </si>
  <si>
    <t>Cơm payback</t>
  </si>
  <si>
    <t>Shopee</t>
  </si>
  <si>
    <t>Trả cơm chung</t>
  </si>
  <si>
    <t>Trả nước chung</t>
  </si>
  <si>
    <t>Trả nước Team Rocket</t>
  </si>
  <si>
    <t>Ăn trưa Rocket</t>
  </si>
  <si>
    <t>Cafe trưa Rocket</t>
  </si>
  <si>
    <t>Kim Anh trả</t>
  </si>
  <si>
    <t>Cho ba má</t>
  </si>
  <si>
    <t>Đóng quỹ + party Rocket</t>
  </si>
  <si>
    <t>Cơm nước w/ team</t>
  </si>
  <si>
    <t>Toàn help</t>
  </si>
  <si>
    <t>Order LEGO</t>
  </si>
  <si>
    <t>Gonsa T8</t>
  </si>
  <si>
    <t>Eleven Labs</t>
  </si>
  <si>
    <t>LEGO Batman game</t>
  </si>
  <si>
    <t>Ăn sáng + cà phê</t>
  </si>
  <si>
    <t>GS15</t>
  </si>
  <si>
    <t>Ăn trưa chung</t>
  </si>
  <si>
    <t>GO (Sữa Ensure, yến xào)</t>
  </si>
  <si>
    <t>Bảo trả yến xào</t>
  </si>
  <si>
    <t>Mua nệm</t>
  </si>
  <si>
    <t>Bán ve chai</t>
  </si>
  <si>
    <t>Ăn bún nước lèo</t>
  </si>
  <si>
    <t>Ăn tối (Cơm gà Kim)</t>
  </si>
  <si>
    <t>Đóng quỹ Rocket</t>
  </si>
  <si>
    <t>One Piece</t>
  </si>
  <si>
    <t>Cuối tháng 6</t>
  </si>
  <si>
    <t>Lương tháng 6</t>
  </si>
  <si>
    <t>Gởi thư</t>
  </si>
  <si>
    <t>Bảo góp Gonsa</t>
  </si>
  <si>
    <t>Chơi w/ Kim Anh</t>
  </si>
  <si>
    <t>Trả Kim Anh</t>
  </si>
  <si>
    <t>Trả Credit Kienlongbank T6</t>
  </si>
  <si>
    <t>Trả Credit Kienlongbank</t>
  </si>
  <si>
    <t>Saigonopoly</t>
  </si>
  <si>
    <t>Ăn sáng w/ Kim Anh</t>
  </si>
  <si>
    <t>Đồ đi du lịch</t>
  </si>
  <si>
    <t>Trip</t>
  </si>
  <si>
    <t>Tiền sân cho KA</t>
  </si>
  <si>
    <t>Tiền bún trả Toàn</t>
  </si>
  <si>
    <t>Sữa chua</t>
  </si>
  <si>
    <t>The 80s với Kim Anh</t>
  </si>
  <si>
    <t>Trả anh Khoa tiền ăn</t>
  </si>
  <si>
    <t>Trả KA tiền thuốc, ăn</t>
  </si>
  <si>
    <t>Nam Cát Tiên</t>
  </si>
  <si>
    <t>Bọc bài, bọc truyện</t>
  </si>
  <si>
    <t>Gym card</t>
  </si>
  <si>
    <t>Quỹ Rocket + party</t>
  </si>
  <si>
    <t>Đặt vé phim nhóm</t>
  </si>
  <si>
    <t>Trả cơm nước nhóm</t>
  </si>
  <si>
    <t>Đặt vé phim w/ KA</t>
  </si>
  <si>
    <t>Mua đồ bv da</t>
  </si>
  <si>
    <t>Ăn vặt trạm dừng chân</t>
  </si>
  <si>
    <t>Ăn trưa w/ Kim Anh</t>
  </si>
  <si>
    <t>Tiền đi NCT</t>
  </si>
  <si>
    <t>KA trả tiền đi chơi</t>
  </si>
  <si>
    <t>Tiền NCT</t>
  </si>
  <si>
    <t>Tiền cầu cho KA</t>
  </si>
  <si>
    <t>Trả FE cho Bảo</t>
  </si>
  <si>
    <t>Quấn cán vợt</t>
  </si>
  <si>
    <t>Cơm nước trưa</t>
  </si>
  <si>
    <t>The 80</t>
  </si>
  <si>
    <t>Nước giặt</t>
  </si>
  <si>
    <t>Chiến trả</t>
  </si>
  <si>
    <t>Net DK</t>
  </si>
  <si>
    <t>Order cơm tối</t>
  </si>
  <si>
    <t>Cà phê w/ Kim Anh</t>
  </si>
  <si>
    <t>Ăn tối / nước</t>
  </si>
  <si>
    <t>Bánh su kem</t>
  </si>
  <si>
    <t>Ăn trưa Team</t>
  </si>
  <si>
    <t>F4 movie</t>
  </si>
  <si>
    <t>Cuối tháng 5</t>
  </si>
  <si>
    <t>Shopee (air purifier)</t>
  </si>
  <si>
    <t>Lương tháng 5</t>
  </si>
  <si>
    <t>Khang</t>
  </si>
  <si>
    <t>Bảo GONSA</t>
  </si>
  <si>
    <t>Khoa payback</t>
  </si>
  <si>
    <t>Kim Anh support</t>
  </si>
  <si>
    <t>Thiên payback</t>
  </si>
  <si>
    <t>Toàn payback</t>
  </si>
  <si>
    <t>The 80s Coffee</t>
  </si>
  <si>
    <t>Minor spent</t>
  </si>
  <si>
    <t>Huy Netflix</t>
  </si>
  <si>
    <t>Order Highlands</t>
  </si>
  <si>
    <t>Team payback Highlands</t>
  </si>
  <si>
    <t>Bọc bài</t>
  </si>
  <si>
    <t>Pozza</t>
  </si>
  <si>
    <t>Ensure</t>
  </si>
  <si>
    <t>Giá đựng giày</t>
  </si>
  <si>
    <t>Fahasha (Superman)</t>
  </si>
  <si>
    <t>Fahasha (Zodiac Rush)</t>
  </si>
  <si>
    <t>Áo cầu lông</t>
  </si>
  <si>
    <t>Order cơm payback</t>
  </si>
  <si>
    <t>Phí cầu lông</t>
  </si>
  <si>
    <t>Order cơm /nước</t>
  </si>
  <si>
    <t>Cơm/nước payback</t>
  </si>
  <si>
    <t>Trả a Khoa (cháo)</t>
  </si>
  <si>
    <t>The 80 Coffee</t>
  </si>
  <si>
    <t>Nước ngọt rạp phim</t>
  </si>
  <si>
    <t>Nước w/ Rocket</t>
  </si>
  <si>
    <t>Trả Thiên cơm gà</t>
  </si>
  <si>
    <t>Trả tiền nước Tú</t>
  </si>
  <si>
    <t>Cuối tháng 4</t>
  </si>
  <si>
    <t>Lương tháng 4</t>
  </si>
  <si>
    <t>Shopee (Pay later)</t>
  </si>
  <si>
    <t>Bàn + giá đỡ laptop (shopee)</t>
  </si>
  <si>
    <t>Kim Anh support tiền trọ</t>
  </si>
  <si>
    <t>Cho má</t>
  </si>
  <si>
    <t>Headphone</t>
  </si>
  <si>
    <t>Blue Prince (Game)</t>
  </si>
  <si>
    <t>Ăn tối (chờ hoàn tiền)</t>
  </si>
  <si>
    <t>Siêu thị GO!</t>
  </si>
  <si>
    <t>Cafe 24h</t>
  </si>
  <si>
    <t>Bánh khoai</t>
  </si>
  <si>
    <t>Clair Obscur: Expedition 33</t>
  </si>
  <si>
    <t>Help Kim Anh 3G</t>
  </si>
  <si>
    <t>Phí BIDV</t>
  </si>
  <si>
    <t>VNPay hoàn tiền</t>
  </si>
  <si>
    <t>Order food</t>
  </si>
  <si>
    <t>Cơm trưa nhóm</t>
  </si>
  <si>
    <t>Cơm trưa payback</t>
  </si>
  <si>
    <t>Order API</t>
  </si>
  <si>
    <t>Team payback</t>
  </si>
  <si>
    <t>Kim Anh payback</t>
  </si>
  <si>
    <t>Yogurt</t>
  </si>
  <si>
    <t>A Khoa payback</t>
  </si>
  <si>
    <t>Order dimsum</t>
  </si>
  <si>
    <t>Burger</t>
  </si>
  <si>
    <t>Mua cơm</t>
  </si>
  <si>
    <t>Winmart+ (sữa, khăn giấy)</t>
  </si>
  <si>
    <t>KA trả</t>
  </si>
  <si>
    <t>Shopee payback</t>
  </si>
  <si>
    <t>Fahasha (Minecraft cards)</t>
  </si>
  <si>
    <t>Cuối tháng 3</t>
  </si>
  <si>
    <t>Lương tháng 3</t>
  </si>
  <si>
    <t>Ba support</t>
  </si>
  <si>
    <t>Hold for Khang</t>
  </si>
  <si>
    <t>Thầy trả thuế</t>
  </si>
  <si>
    <t>Minecraft cards x4</t>
  </si>
  <si>
    <t>Help Khôi</t>
  </si>
  <si>
    <t>JICA bonus</t>
  </si>
  <si>
    <t>Bắp</t>
  </si>
  <si>
    <t>Su kem</t>
  </si>
  <si>
    <t>Rocket fee</t>
  </si>
  <si>
    <t>Laptop</t>
  </si>
  <si>
    <t>Snow White</t>
  </si>
  <si>
    <t>Điện lực Trà Vinh</t>
  </si>
  <si>
    <t>Vé một bộ phim Minecraft</t>
  </si>
  <si>
    <t>Đám cưới Như 💍</t>
  </si>
  <si>
    <t>Trung Nguyên Legend</t>
  </si>
  <si>
    <t>Phụ thu movie</t>
  </si>
  <si>
    <t>Xu kem</t>
  </si>
  <si>
    <t>GS25 (Evening)</t>
  </si>
  <si>
    <t>Khang package</t>
  </si>
  <si>
    <t>Vương vé phim</t>
  </si>
  <si>
    <t>Minecraft pack x4</t>
  </si>
  <si>
    <t>Gift</t>
  </si>
  <si>
    <t>Bánh papa</t>
  </si>
  <si>
    <t>Nhã thy</t>
  </si>
  <si>
    <t>Pizza Hut</t>
  </si>
  <si>
    <t>Khôi trả</t>
  </si>
  <si>
    <t>Trà dâu</t>
  </si>
  <si>
    <t>Nước 24h</t>
  </si>
  <si>
    <t>Thuế</t>
  </si>
  <si>
    <t>Support Kim Anh</t>
  </si>
  <si>
    <t>Toàn trả tiền cơm</t>
  </si>
  <si>
    <t>Ăn chiều w/ Toàn</t>
  </si>
  <si>
    <t>Dimsum</t>
  </si>
  <si>
    <t>Khám bệnh cho má</t>
  </si>
  <si>
    <t>Gia Hảo</t>
  </si>
  <si>
    <t>Sữa cho ba</t>
  </si>
  <si>
    <t>Hồng trà Ngô Gia</t>
  </si>
  <si>
    <t>Keyboard from Uyên</t>
  </si>
  <si>
    <t>Chicken Hunter License</t>
  </si>
  <si>
    <t>Cuối tháng 2</t>
  </si>
  <si>
    <t>Lotte</t>
  </si>
  <si>
    <t>Lương tháng 2</t>
  </si>
  <si>
    <t>Loan</t>
  </si>
  <si>
    <t>Hồng trà</t>
  </si>
  <si>
    <t>Bánh mì K</t>
  </si>
  <si>
    <t>Ăn bún</t>
  </si>
  <si>
    <t>Quán nước</t>
  </si>
  <si>
    <t>Cho ba</t>
  </si>
  <si>
    <t>Pozza w/ Vương</t>
  </si>
  <si>
    <t>Ăn tối w/ Má</t>
  </si>
  <si>
    <t>Lắp màn cửa</t>
  </si>
  <si>
    <t>House</t>
  </si>
  <si>
    <t>Bánh kẹp</t>
  </si>
  <si>
    <t>Mì trộn</t>
  </si>
  <si>
    <t>Ăn sáng bánh ướt</t>
  </si>
  <si>
    <t>Fee</t>
  </si>
  <si>
    <t>Bánh cá</t>
  </si>
  <si>
    <t>Overcooked 2</t>
  </si>
  <si>
    <t>Lotte Mart</t>
  </si>
  <si>
    <t>One Piece DLC</t>
  </si>
  <si>
    <t>Circle K (trưa)</t>
  </si>
  <si>
    <t>Circle K (chiều)</t>
  </si>
  <si>
    <t>Minecraft card pack x1</t>
  </si>
  <si>
    <t>Cáp mạng</t>
  </si>
  <si>
    <t>Heylo &amp; Kiss</t>
  </si>
  <si>
    <t>Minecraft card pack x2</t>
  </si>
  <si>
    <t>Đồ gia dụng</t>
  </si>
  <si>
    <t>Shopee (đệm ghế, sleeves)</t>
  </si>
  <si>
    <t>*256 (SPayLater)</t>
  </si>
  <si>
    <t>Huy Netflix T4</t>
  </si>
  <si>
    <t>Taxas</t>
  </si>
  <si>
    <t>Initial from last month</t>
  </si>
  <si>
    <t>Vương trả (tháng trước)</t>
  </si>
  <si>
    <t>Hoàn tiền Steam</t>
  </si>
  <si>
    <t>Game DLC</t>
  </si>
  <si>
    <t>A Bảo help</t>
  </si>
  <si>
    <t>RedBull</t>
  </si>
  <si>
    <t>Tiền nhà T2</t>
  </si>
  <si>
    <t>Ăn sáng + nước</t>
  </si>
  <si>
    <t>Bắt xe ra bến</t>
  </si>
  <si>
    <t>Bắt xe về trọ</t>
  </si>
  <si>
    <t>Circle K Hoàn Mỹ</t>
  </si>
  <si>
    <t>Vớ y khoa chống giãn TM</t>
  </si>
  <si>
    <t>JackTheBus</t>
  </si>
  <si>
    <t>Texas chicken</t>
  </si>
  <si>
    <t>NXB Kim Đồng</t>
  </si>
  <si>
    <t>Tiền điện nhà</t>
  </si>
  <si>
    <t>Bánh cá, bắp</t>
  </si>
  <si>
    <t>Mua đt cho Má</t>
  </si>
  <si>
    <t>ViettelPost</t>
  </si>
  <si>
    <t>Đồ tiêu dùng Nhã Thy</t>
  </si>
  <si>
    <t>CellphoneS bộ sạc</t>
  </si>
  <si>
    <t>Đổi bộ sạc CellphoneS</t>
  </si>
  <si>
    <t>Tiền nước TV</t>
  </si>
  <si>
    <t>Ăn sáng (bánh mì cà phê)</t>
  </si>
  <si>
    <t>Ăn chiều w/ Khang</t>
  </si>
  <si>
    <t>Youtube comment</t>
  </si>
  <si>
    <t>Ăn chiều (cơm)</t>
  </si>
  <si>
    <t>Fahasha (móc treo)</t>
  </si>
  <si>
    <t>Ăn tối (Texas)</t>
  </si>
  <si>
    <t>YouTube comment</t>
  </si>
  <si>
    <t>Initial</t>
  </si>
  <si>
    <t>Salary T12</t>
  </si>
  <si>
    <t>Bảo hiểm</t>
  </si>
  <si>
    <t>Salary T13</t>
  </si>
  <si>
    <t>Salary T1</t>
  </si>
  <si>
    <t>Hoàn tiền cọc Ngô Gia</t>
  </si>
  <si>
    <t>Trả ba</t>
  </si>
  <si>
    <t>Nhà sách</t>
  </si>
  <si>
    <t>Tiền nhà T1</t>
  </si>
  <si>
    <t>Book</t>
  </si>
  <si>
    <t>Family trip</t>
  </si>
  <si>
    <t>Trả giùm nước Rocket</t>
  </si>
  <si>
    <t>Net Nhanh Thạch</t>
  </si>
  <si>
    <t>Cà phê Nguyên 2</t>
  </si>
  <si>
    <t>Nhà sách Khai Trí</t>
  </si>
  <si>
    <t>Máy sấy tóc</t>
  </si>
  <si>
    <t>Thuốc cho má</t>
  </si>
  <si>
    <t>Tiền điện nhà T1</t>
  </si>
  <si>
    <t>Cọc nhà trọ</t>
  </si>
  <si>
    <t>Tú trả</t>
  </si>
  <si>
    <t>Truyện Én</t>
  </si>
  <si>
    <t>Truyện tranh</t>
  </si>
  <si>
    <t>Quà cho thầy Thái</t>
  </si>
  <si>
    <t>Ghế xoay</t>
  </si>
  <si>
    <t>Sữa Long Thành</t>
  </si>
  <si>
    <t>Bún mắm</t>
  </si>
  <si>
    <t>Khám bệnh (VPCL)</t>
  </si>
  <si>
    <t>Party w/ anh Bằng</t>
  </si>
  <si>
    <t>Khang support party</t>
  </si>
  <si>
    <t>Tú support party</t>
  </si>
  <si>
    <t>Udemy pixel art course</t>
  </si>
  <si>
    <t>Aseprite software</t>
  </si>
  <si>
    <t>Mua bàn làm việc</t>
  </si>
  <si>
    <t>ElevenLabs</t>
  </si>
  <si>
    <t>Mua giày Bitis</t>
  </si>
  <si>
    <t>Bánh ướt</t>
  </si>
  <si>
    <t>Steam</t>
  </si>
  <si>
    <t>Bún</t>
  </si>
  <si>
    <t>Nội thất</t>
  </si>
  <si>
    <t>Bóng đèn</t>
  </si>
  <si>
    <t>Linh kiện điện nước</t>
  </si>
  <si>
    <t>Thay lốp xe</t>
  </si>
  <si>
    <t>Nguyên 2</t>
  </si>
  <si>
    <t>Cơm sáng</t>
  </si>
  <si>
    <t>Gà rán Texas</t>
  </si>
  <si>
    <t>Bánh ăn vặt</t>
  </si>
  <si>
    <t>Mua sắm GO</t>
  </si>
  <si>
    <t>Mua sắm DIY</t>
  </si>
  <si>
    <t>Tiền xe vượt km (Bảo)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</si>
</sst>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/MM/yyyy"/>
    <numFmt numFmtId="167" formatCode="#,##0\ [$đ-42A]"/>
  </numFmts>
  <fonts count="22">
    <font>
      <sz val="10.0"/>
      <color rgb="FF000000"/>
      <name val="Arial"/>
      <scheme val="minor"/>
    </font>
    <font>
      <sz val="11.0"/>
      <color theme="1"/>
      <name val="Google Sans"/>
    </font>
    <font/>
    <font>
      <sz val="11.0"/>
      <color rgb="FF000000"/>
      <name val="Google Sans"/>
    </font>
    <font>
      <b/>
      <sz val="11.0"/>
      <color theme="1"/>
      <name val="Google Sans"/>
    </font>
    <font>
      <color theme="1"/>
      <name val="Arial"/>
      <scheme val="minor"/>
    </font>
    <font>
      <strike/>
      <sz val="11.0"/>
      <color theme="1"/>
      <name val="Google Sans"/>
    </font>
    <font>
      <sz val="10.0"/>
      <color theme="1"/>
      <name val="Google Sans"/>
    </font>
    <font>
      <b/>
      <sz val="10.0"/>
      <color theme="1"/>
      <name val="Google Sans"/>
    </font>
    <font>
      <b/>
      <sz val="10.0"/>
      <color rgb="FFFF0000"/>
      <name val="Google Sans"/>
    </font>
    <font>
      <b/>
      <sz val="10.0"/>
      <color rgb="FF6AA84F"/>
      <name val="Google Sans"/>
    </font>
    <font>
      <sz val="10.0"/>
      <color rgb="FF000000"/>
      <name val="Google Sans"/>
    </font>
    <font>
      <b/>
      <sz val="11.0"/>
      <color rgb="FFFF0000"/>
      <name val="Google Sans"/>
    </font>
    <font>
      <b/>
      <sz val="11.0"/>
      <color rgb="FF6AA84F"/>
      <name val="Google Sans"/>
    </font>
    <font>
      <color theme="1"/>
      <name val="Arial"/>
    </font>
    <font>
      <sz val="11.0"/>
      <color rgb="FFFFFFFF"/>
      <name val="Google Sans"/>
    </font>
    <font>
      <sz val="12.0"/>
      <color theme="1"/>
      <name val="Google Sans"/>
    </font>
    <font>
      <sz val="12.0"/>
      <color rgb="FFFFFFFF"/>
      <name val="Google Sans"/>
    </font>
    <font>
      <b/>
      <sz val="12.0"/>
      <color theme="1"/>
      <name val="Google Sans"/>
    </font>
    <font>
      <b/>
      <sz val="12.0"/>
      <color rgb="FFFF0000"/>
      <name val="Google Sans"/>
    </font>
    <font>
      <b/>
      <sz val="12.0"/>
      <color rgb="FF6AA84F"/>
      <name val="Google Sans"/>
    </font>
    <font>
      <sz val="12.0"/>
      <color rgb="FF000000"/>
      <name val="Google Sans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1" numFmtId="0" xfId="0" applyFont="1"/>
    <xf borderId="1" fillId="2" fontId="3" numFmtId="0" xfId="0" applyAlignment="1" applyBorder="1" applyFill="1" applyFont="1">
      <alignment horizontal="center" readingOrder="0"/>
    </xf>
    <xf borderId="4" fillId="3" fontId="1" numFmtId="0" xfId="0" applyAlignment="1" applyBorder="1" applyFill="1" applyFont="1">
      <alignment horizontal="left" readingOrder="0"/>
    </xf>
    <xf borderId="5" fillId="0" fontId="2" numFmtId="0" xfId="0" applyBorder="1" applyFont="1"/>
    <xf borderId="4" fillId="4" fontId="1" numFmtId="0" xfId="0" applyAlignment="1" applyBorder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3" fillId="4" fontId="1" numFmtId="0" xfId="0" applyAlignment="1" applyBorder="1" applyFill="1" applyFont="1">
      <alignment horizontal="center" readingOrder="0"/>
    </xf>
    <xf borderId="3" fillId="6" fontId="1" numFmtId="0" xfId="0" applyAlignment="1" applyBorder="1" applyFill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5" fontId="4" numFmtId="0" xfId="0" applyAlignment="1" applyFill="1" applyFont="1">
      <alignment horizontal="center" readingOrder="0" vertical="center"/>
    </xf>
    <xf borderId="4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readingOrder="0"/>
    </xf>
    <xf borderId="9" fillId="0" fontId="2" numFmtId="0" xfId="0" applyBorder="1" applyFont="1"/>
    <xf borderId="10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5" fontId="1" numFmtId="0" xfId="0" applyAlignment="1" applyFill="1" applyFont="1">
      <alignment horizontal="center" readingOrder="0"/>
    </xf>
    <xf borderId="11" fillId="0" fontId="1" numFmtId="0" xfId="0" applyAlignment="1" applyBorder="1" applyFont="1">
      <alignment readingOrder="0"/>
    </xf>
    <xf borderId="12" fillId="0" fontId="2" numFmtId="0" xfId="0" applyBorder="1" applyFont="1"/>
    <xf borderId="13" fillId="0" fontId="1" numFmtId="0" xfId="0" applyAlignment="1" applyBorder="1" applyFont="1">
      <alignment horizontal="center" readingOrder="0"/>
    </xf>
    <xf borderId="0" fillId="0" fontId="5" numFmtId="0" xfId="0" applyFont="1"/>
    <xf borderId="0" fillId="0" fontId="1" numFmtId="0" xfId="0" applyAlignment="1" applyFont="1">
      <alignment horizontal="left" readingOrder="0" vertical="center"/>
    </xf>
    <xf borderId="7" fillId="4" fontId="1" numFmtId="0" xfId="0" applyAlignment="1" applyBorder="1" applyFill="1" applyFont="1">
      <alignment horizontal="center" readingOrder="0"/>
    </xf>
    <xf borderId="7" fillId="7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6" fillId="0" fontId="1" numFmtId="165" xfId="0" applyAlignment="1" applyBorder="1" applyFont="1" applyNumberFormat="1">
      <alignment horizontal="center" readingOrder="0"/>
    </xf>
    <xf borderId="8" fillId="0" fontId="6" numFmtId="0" xfId="0" applyAlignment="1" applyBorder="1" applyFont="1">
      <alignment readingOrder="0"/>
    </xf>
    <xf borderId="10" fillId="0" fontId="6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0" fillId="0" fontId="5" numFmtId="164" xfId="0" applyFont="1" applyNumberFormat="1"/>
    <xf borderId="6" fillId="0" fontId="4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5" numFmtId="166" xfId="0" applyFont="1" applyNumberFormat="1"/>
    <xf borderId="0" fillId="0" fontId="1" numFmtId="0" xfId="0" applyFont="1"/>
    <xf borderId="0" fillId="0" fontId="5" numFmtId="167" xfId="0" applyFont="1" applyNumberFormat="1"/>
    <xf borderId="0" fillId="0" fontId="5" numFmtId="167" xfId="0" applyFont="1" applyNumberFormat="1"/>
    <xf borderId="0" fillId="0" fontId="1" numFmtId="166" xfId="0" applyFont="1" applyNumberFormat="1"/>
    <xf borderId="7" fillId="8" fontId="7" numFmtId="166" xfId="0" applyAlignment="1" applyBorder="1" applyFill="1" applyFont="1" applyNumberFormat="1">
      <alignment horizontal="center" readingOrder="0" vertical="center"/>
    </xf>
    <xf borderId="6" fillId="8" fontId="7" numFmtId="0" xfId="0" applyAlignment="1" applyBorder="1" applyFill="1" applyFont="1">
      <alignment horizontal="center" readingOrder="0" vertical="center"/>
    </xf>
    <xf borderId="0" fillId="0" fontId="7" numFmtId="0" xfId="0" applyFont="1"/>
    <xf borderId="7" fillId="9" fontId="7" numFmtId="0" xfId="0" applyAlignment="1" applyBorder="1" applyFill="1" applyFont="1">
      <alignment horizontal="center" readingOrder="0" vertical="center"/>
    </xf>
    <xf borderId="5" fillId="9" fontId="7" numFmtId="0" xfId="0" applyAlignment="1" applyBorder="1" applyFill="1" applyFon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4" fillId="0" fontId="7" numFmtId="164" xfId="0" applyAlignment="1" applyBorder="1" applyFont="1" applyNumberFormat="1">
      <alignment horizontal="center" readingOrder="0" vertical="center"/>
    </xf>
    <xf borderId="14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0" fillId="0" fontId="7" numFmtId="0" xfId="0" applyFont="1"/>
    <xf borderId="8" fillId="0" fontId="7" numFmtId="164" xfId="0" applyAlignment="1" applyBorder="1" applyFont="1" applyNumberFormat="1">
      <alignment horizontal="center" readingOrder="0" vertical="center"/>
    </xf>
    <xf borderId="9" fillId="0" fontId="7" numFmtId="0" xfId="0" applyAlignment="1" applyBorder="1" applyFont="1">
      <alignment readingOrder="0"/>
    </xf>
    <xf borderId="11" fillId="0" fontId="7" numFmtId="164" xfId="0" applyAlignment="1" applyBorder="1" applyFont="1" applyNumberFormat="1">
      <alignment horizontal="center" readingOrder="0" vertical="center"/>
    </xf>
    <xf borderId="15" fillId="0" fontId="7" numFmtId="0" xfId="0" applyAlignment="1" applyBorder="1" applyFont="1">
      <alignment readingOrder="0"/>
    </xf>
    <xf borderId="12" fillId="0" fontId="7" numFmtId="0" xfId="0" applyAlignment="1" applyBorder="1" applyFont="1">
      <alignment readingOrder="0"/>
    </xf>
    <xf borderId="13" fillId="0" fontId="7" numFmtId="0" xfId="0" applyAlignment="1" applyBorder="1" applyFont="1">
      <alignment readingOrder="0"/>
    </xf>
    <xf borderId="11" fillId="0" fontId="8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1" fillId="0" fontId="8" numFmtId="0" xfId="0" applyBorder="1" applyFont="1"/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horizontal="center"/>
    </xf>
    <xf borderId="1" fillId="5" fontId="10" numFmtId="0" xfId="0" applyAlignment="1" applyBorder="1" applyFill="1" applyFont="1">
      <alignment horizontal="center"/>
    </xf>
    <xf borderId="6" fillId="10" fontId="7" numFmtId="0" xfId="0" applyAlignment="1" applyBorder="1" applyFill="1" applyFont="1">
      <alignment horizontal="center" readingOrder="0"/>
    </xf>
    <xf borderId="6" fillId="5" fontId="11" numFmtId="0" xfId="0" applyAlignment="1" applyBorder="1" applyFill="1" applyFont="1">
      <alignment horizontal="left" readingOrder="0"/>
    </xf>
    <xf borderId="6" fillId="0" fontId="7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/>
    </xf>
    <xf borderId="1" fillId="9" fontId="7" numFmtId="0" xfId="0" applyAlignment="1" applyBorder="1" applyFill="1" applyFont="1">
      <alignment horizontal="center" readingOrder="0"/>
    </xf>
    <xf borderId="6" fillId="2" fontId="7" numFmtId="0" xfId="0" applyAlignment="1" applyBorder="1" applyFill="1" applyFont="1">
      <alignment vertical="bottom"/>
    </xf>
    <xf borderId="6" fillId="2" fontId="8" numFmtId="0" xfId="0" applyAlignment="1" applyBorder="1" applyFill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6" fillId="2" fontId="7" numFmtId="0" xfId="0" applyAlignment="1" applyBorder="1" applyFill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0" fillId="0" fontId="7" numFmtId="164" xfId="0" applyFont="1" applyNumberFormat="1"/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right" readingOrder="0" vertical="center"/>
    </xf>
    <xf borderId="0" fillId="0" fontId="7" numFmtId="0" xfId="0" applyAlignment="1" applyFont="1">
      <alignment horizontal="right"/>
    </xf>
    <xf borderId="6" fillId="8" fontId="7" numFmtId="166" xfId="0" applyAlignment="1" applyBorder="1" applyFill="1" applyFont="1" applyNumberFormat="1">
      <alignment horizontal="center" readingOrder="0" vertical="center"/>
    </xf>
    <xf borderId="8" fillId="0" fontId="2" numFmtId="0" xfId="0" applyBorder="1" applyFont="1"/>
    <xf borderId="0" fillId="0" fontId="5" numFmtId="0" xfId="0" applyAlignment="1" applyFont="1">
      <alignment readingOrder="0"/>
    </xf>
    <xf borderId="6" fillId="8" fontId="1" numFmtId="166" xfId="0" applyAlignment="1" applyBorder="1" applyFill="1" applyFont="1" applyNumberFormat="1">
      <alignment horizontal="center" readingOrder="0" vertical="center"/>
    </xf>
    <xf borderId="6" fillId="8" fontId="1" numFmtId="0" xfId="0" applyAlignment="1" applyBorder="1" applyFill="1" applyFont="1">
      <alignment horizontal="center" readingOrder="0" vertical="center"/>
    </xf>
    <xf borderId="7" fillId="9" fontId="1" numFmtId="0" xfId="0" applyAlignment="1" applyBorder="1" applyFill="1" applyFont="1">
      <alignment horizontal="center" readingOrder="0" vertical="center"/>
    </xf>
    <xf borderId="5" fillId="9" fontId="1" numFmtId="0" xfId="0" applyAlignment="1" applyBorder="1" applyFill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4" fillId="0" fontId="1" numFmtId="164" xfId="0" applyAlignment="1" applyBorder="1" applyFont="1" applyNumberFormat="1">
      <alignment horizontal="center" readingOrder="0" vertical="center"/>
    </xf>
    <xf borderId="1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8" fillId="0" fontId="1" numFmtId="164" xfId="0" applyAlignment="1" applyBorder="1" applyFont="1" applyNumberFormat="1">
      <alignment horizontal="center" readingOrder="0" vertical="center"/>
    </xf>
    <xf borderId="9" fillId="0" fontId="1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11" fillId="0" fontId="1" numFmtId="164" xfId="0" applyAlignment="1" applyBorder="1" applyFont="1" applyNumberFormat="1">
      <alignment horizontal="center" readingOrder="0" vertical="center"/>
    </xf>
    <xf borderId="15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1" numFmtId="0" xfId="0" applyAlignment="1" applyFont="1">
      <alignment horizontal="right" vertical="bottom"/>
    </xf>
    <xf borderId="1" fillId="0" fontId="12" numFmtId="0" xfId="0" applyAlignment="1" applyBorder="1" applyFont="1">
      <alignment horizontal="center"/>
    </xf>
    <xf borderId="1" fillId="5" fontId="13" numFmtId="0" xfId="0" applyAlignment="1" applyBorder="1" applyFill="1" applyFont="1">
      <alignment horizontal="center"/>
    </xf>
    <xf borderId="6" fillId="10" fontId="1" numFmtId="0" xfId="0" applyAlignment="1" applyBorder="1" applyFill="1" applyFont="1">
      <alignment horizontal="center" readingOrder="0"/>
    </xf>
    <xf borderId="6" fillId="5" fontId="3" numFmtId="0" xfId="0" applyAlignment="1" applyBorder="1" applyFill="1" applyFont="1">
      <alignment horizontal="left" readingOrder="0"/>
    </xf>
    <xf borderId="1" fillId="9" fontId="1" numFmtId="0" xfId="0" applyAlignment="1" applyBorder="1" applyFill="1" applyFont="1">
      <alignment horizontal="center" readingOrder="0"/>
    </xf>
    <xf borderId="6" fillId="2" fontId="1" numFmtId="0" xfId="0" applyAlignment="1" applyBorder="1" applyFill="1" applyFont="1">
      <alignment vertical="bottom"/>
    </xf>
    <xf borderId="6" fillId="2" fontId="4" numFmtId="0" xfId="0" applyAlignment="1" applyBorder="1" applyFill="1" applyFont="1">
      <alignment horizontal="center" vertical="bottom"/>
    </xf>
    <xf borderId="6" fillId="2" fontId="4" numFmtId="0" xfId="0" applyAlignment="1" applyBorder="1" applyFill="1" applyFont="1">
      <alignment horizontal="center" vertical="bottom"/>
    </xf>
    <xf borderId="6" fillId="2" fontId="1" numFmtId="0" xfId="0" applyAlignment="1" applyBorder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left" readingOrder="0"/>
    </xf>
    <xf borderId="0" fillId="0" fontId="1" numFmtId="164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7" fontId="1" numFmtId="0" xfId="0" applyAlignment="1" applyFill="1" applyFont="1">
      <alignment readingOrder="0"/>
    </xf>
    <xf borderId="0" fillId="7" fontId="1" numFmtId="0" xfId="0" applyAlignment="1" applyFill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left" readingOrder="0" vertical="center"/>
    </xf>
    <xf borderId="5" fillId="0" fontId="1" numFmtId="0" xfId="0" applyBorder="1" applyFont="1"/>
    <xf borderId="6" fillId="2" fontId="14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5" fillId="0" fontId="15" numFmtId="0" xfId="0" applyBorder="1" applyFont="1"/>
    <xf borderId="8" fillId="0" fontId="1" numFmtId="0" xfId="0" applyBorder="1" applyFont="1"/>
    <xf borderId="11" fillId="0" fontId="1" numFmtId="0" xfId="0" applyBorder="1" applyFont="1"/>
    <xf borderId="15" fillId="0" fontId="1" numFmtId="0" xfId="0" applyBorder="1" applyFont="1"/>
    <xf borderId="12" fillId="0" fontId="1" numFmtId="0" xfId="0" applyBorder="1" applyFont="1"/>
    <xf borderId="13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readingOrder="0" vertical="bottom"/>
    </xf>
    <xf borderId="13" fillId="0" fontId="1" numFmtId="0" xfId="0" applyAlignment="1" applyBorder="1" applyFont="1">
      <alignment vertical="bottom"/>
    </xf>
    <xf borderId="6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8" fillId="0" fontId="1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vertical="bottom"/>
    </xf>
    <xf borderId="4" fillId="0" fontId="1" numFmtId="164" xfId="0" applyAlignment="1" applyBorder="1" applyFont="1" applyNumberFormat="1">
      <alignment horizontal="center" readingOrder="0" vertical="center"/>
    </xf>
    <xf borderId="1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8" fillId="0" fontId="2" numFmtId="0" xfId="0" applyBorder="1" applyFont="1"/>
    <xf borderId="9" fillId="0" fontId="1" numFmtId="0" xfId="0" applyAlignment="1" applyBorder="1" applyFont="1">
      <alignment readingOrder="0"/>
    </xf>
    <xf borderId="8" fillId="0" fontId="1" numFmtId="164" xfId="0" applyAlignment="1" applyBorder="1" applyFont="1" applyNumberFormat="1">
      <alignment horizontal="center" readingOrder="0" vertical="center"/>
    </xf>
    <xf borderId="11" fillId="0" fontId="1" numFmtId="164" xfId="0" applyAlignment="1" applyBorder="1" applyFont="1" applyNumberFormat="1">
      <alignment horizontal="center" readingOrder="0" vertical="center"/>
    </xf>
    <xf borderId="15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left" readingOrder="0"/>
    </xf>
    <xf borderId="9" fillId="0" fontId="1" numFmtId="0" xfId="0" applyBorder="1" applyFont="1"/>
    <xf borderId="8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3" fillId="2" fontId="1" numFmtId="0" xfId="0" applyAlignment="1" applyBorder="1" applyFill="1" applyFont="1">
      <alignment vertical="bottom"/>
    </xf>
    <xf borderId="6" fillId="2" fontId="1" numFmtId="0" xfId="0" applyAlignment="1" applyBorder="1" applyFill="1" applyFont="1">
      <alignment horizontal="center" readingOrder="0" vertical="bottom"/>
    </xf>
    <xf borderId="6" fillId="2" fontId="1" numFmtId="0" xfId="0" applyAlignment="1" applyBorder="1" applyFill="1" applyFont="1">
      <alignment horizontal="center" vertical="bottom"/>
    </xf>
    <xf borderId="6" fillId="2" fontId="1" numFmtId="0" xfId="0" applyAlignment="1" applyBorder="1" applyFill="1" applyFont="1">
      <alignment readingOrder="0"/>
    </xf>
    <xf borderId="6" fillId="2" fontId="1" numFmtId="0" xfId="0" applyAlignment="1" applyBorder="1" applyFill="1" applyFont="1">
      <alignment horizontal="center"/>
    </xf>
    <xf borderId="13" fillId="2" fontId="1" numFmtId="0" xfId="0" applyAlignment="1" applyBorder="1" applyFill="1" applyFont="1">
      <alignment horizontal="left" readingOrder="0"/>
    </xf>
    <xf borderId="6" fillId="2" fontId="1" numFmtId="0" xfId="0" applyAlignment="1" applyBorder="1" applyFill="1" applyFont="1">
      <alignment horizontal="center" readingOrder="0"/>
    </xf>
    <xf borderId="6" fillId="8" fontId="16" numFmtId="166" xfId="0" applyAlignment="1" applyBorder="1" applyFill="1" applyFont="1" applyNumberFormat="1">
      <alignment horizontal="center" readingOrder="0" vertical="center"/>
    </xf>
    <xf borderId="6" fillId="8" fontId="16" numFmtId="0" xfId="0" applyAlignment="1" applyBorder="1" applyFill="1" applyFont="1">
      <alignment horizontal="center" readingOrder="0" vertical="center"/>
    </xf>
    <xf borderId="0" fillId="0" fontId="16" numFmtId="0" xfId="0" applyFont="1"/>
    <xf borderId="7" fillId="9" fontId="16" numFmtId="0" xfId="0" applyAlignment="1" applyBorder="1" applyFill="1" applyFont="1">
      <alignment horizontal="center" readingOrder="0" vertical="center"/>
    </xf>
    <xf borderId="5" fillId="9" fontId="16" numFmtId="0" xfId="0" applyAlignment="1" applyBorder="1" applyFill="1" applyFont="1">
      <alignment horizontal="center" readingOrder="0" vertical="center"/>
    </xf>
    <xf borderId="8" fillId="0" fontId="16" numFmtId="164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4" fillId="0" fontId="16" numFmtId="164" xfId="0" applyAlignment="1" applyBorder="1" applyFont="1" applyNumberFormat="1">
      <alignment horizontal="center" readingOrder="0" vertical="center"/>
    </xf>
    <xf borderId="14" fillId="0" fontId="16" numFmtId="0" xfId="0" applyAlignment="1" applyBorder="1" applyFont="1">
      <alignment readingOrder="0"/>
    </xf>
    <xf borderId="5" fillId="0" fontId="16" numFmtId="0" xfId="0" applyAlignment="1" applyBorder="1" applyFont="1">
      <alignment readingOrder="0"/>
    </xf>
    <xf borderId="9" fillId="0" fontId="17" numFmtId="0" xfId="0" applyAlignment="1" applyBorder="1" applyFont="1">
      <alignment readingOrder="0"/>
    </xf>
    <xf borderId="9" fillId="0" fontId="16" numFmtId="0" xfId="0" applyAlignment="1" applyBorder="1" applyFont="1">
      <alignment readingOrder="0"/>
    </xf>
    <xf borderId="9" fillId="0" fontId="16" numFmtId="0" xfId="0" applyBorder="1" applyFont="1"/>
    <xf borderId="8" fillId="0" fontId="16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 vertical="center"/>
    </xf>
    <xf borderId="15" fillId="0" fontId="16" numFmtId="0" xfId="0" applyBorder="1" applyFont="1"/>
    <xf borderId="12" fillId="0" fontId="16" numFmtId="0" xfId="0" applyBorder="1" applyFont="1"/>
    <xf borderId="13" fillId="0" fontId="16" numFmtId="0" xfId="0" applyAlignment="1" applyBorder="1" applyFont="1">
      <alignment readingOrder="0"/>
    </xf>
    <xf borderId="11" fillId="0" fontId="18" numFmtId="0" xfId="0" applyAlignment="1" applyBorder="1" applyFont="1">
      <alignment readingOrder="0"/>
    </xf>
    <xf borderId="6" fillId="0" fontId="16" numFmtId="0" xfId="0" applyAlignment="1" applyBorder="1" applyFont="1">
      <alignment readingOrder="0"/>
    </xf>
    <xf borderId="1" fillId="0" fontId="18" numFmtId="0" xfId="0" applyBorder="1" applyFont="1"/>
    <xf borderId="1" fillId="0" fontId="18" numFmtId="0" xfId="0" applyAlignment="1" applyBorder="1" applyFont="1">
      <alignment readingOrder="0"/>
    </xf>
    <xf borderId="1" fillId="0" fontId="19" numFmtId="0" xfId="0" applyAlignment="1" applyBorder="1" applyFont="1">
      <alignment horizontal="center"/>
    </xf>
    <xf borderId="1" fillId="5" fontId="20" numFmtId="0" xfId="0" applyAlignment="1" applyBorder="1" applyFill="1" applyFont="1">
      <alignment horizontal="center"/>
    </xf>
    <xf borderId="6" fillId="10" fontId="16" numFmtId="0" xfId="0" applyAlignment="1" applyBorder="1" applyFill="1" applyFont="1">
      <alignment horizontal="center" readingOrder="0"/>
    </xf>
    <xf borderId="6" fillId="5" fontId="21" numFmtId="0" xfId="0" applyAlignment="1" applyBorder="1" applyFill="1" applyFont="1">
      <alignment horizontal="left" readingOrder="0"/>
    </xf>
    <xf borderId="6" fillId="0" fontId="16" numFmtId="0" xfId="0" applyAlignment="1" applyBorder="1" applyFont="1">
      <alignment horizontal="center" readingOrder="0"/>
    </xf>
    <xf borderId="6" fillId="0" fontId="16" numFmtId="0" xfId="0" applyAlignment="1" applyBorder="1" applyFont="1">
      <alignment horizontal="center"/>
    </xf>
    <xf borderId="1" fillId="9" fontId="16" numFmtId="0" xfId="0" applyAlignment="1" applyBorder="1" applyFill="1" applyFont="1">
      <alignment horizontal="center" readingOrder="0"/>
    </xf>
    <xf borderId="13" fillId="2" fontId="16" numFmtId="0" xfId="0" applyAlignment="1" applyBorder="1" applyFill="1" applyFont="1">
      <alignment vertical="bottom"/>
    </xf>
    <xf borderId="6" fillId="2" fontId="16" numFmtId="0" xfId="0" applyAlignment="1" applyBorder="1" applyFill="1" applyFont="1">
      <alignment horizontal="center" readingOrder="0" vertical="bottom"/>
    </xf>
    <xf borderId="6" fillId="2" fontId="16" numFmtId="0" xfId="0" applyAlignment="1" applyBorder="1" applyFill="1" applyFont="1">
      <alignment horizontal="center" vertical="bottom"/>
    </xf>
    <xf borderId="6" fillId="2" fontId="16" numFmtId="0" xfId="0" applyAlignment="1" applyBorder="1" applyFill="1" applyFont="1">
      <alignment readingOrder="0"/>
    </xf>
    <xf borderId="6" fillId="2" fontId="16" numFmtId="0" xfId="0" applyAlignment="1" applyBorder="1" applyFill="1" applyFont="1">
      <alignment horizontal="center"/>
    </xf>
    <xf borderId="13" fillId="2" fontId="16" numFmtId="0" xfId="0" applyAlignment="1" applyBorder="1" applyFill="1" applyFont="1">
      <alignment horizontal="left" readingOrder="0"/>
    </xf>
    <xf borderId="6" fillId="2" fontId="16" numFmtId="0" xfId="0" applyAlignment="1" applyBorder="1" applyFill="1" applyFont="1">
      <alignment horizontal="center" readingOrder="0"/>
    </xf>
    <xf borderId="13" fillId="0" fontId="16" numFmtId="0" xfId="0" applyAlignment="1" applyBorder="1" applyFont="1">
      <alignment horizontal="left" readingOrder="0"/>
    </xf>
    <xf borderId="6" fillId="0" fontId="18" numFmtId="0" xfId="0" applyAlignment="1" applyBorder="1" applyFont="1">
      <alignment horizontal="center"/>
    </xf>
    <xf borderId="7" fillId="9" fontId="16" numFmtId="0" xfId="0" applyAlignment="1" applyBorder="1" applyFill="1" applyFont="1">
      <alignment horizontal="center" readingOrder="0" vertical="center"/>
    </xf>
    <xf borderId="8" fillId="0" fontId="16" numFmtId="0" xfId="0" applyBorder="1" applyFont="1"/>
    <xf borderId="11" fillId="0" fontId="16" numFmtId="0" xfId="0" applyBorder="1" applyFont="1"/>
    <xf borderId="0" fillId="0" fontId="16" numFmtId="0" xfId="0" applyAlignment="1" applyFont="1">
      <alignment horizontal="center"/>
    </xf>
    <xf borderId="6" fillId="9" fontId="16" numFmtId="0" xfId="0" applyAlignment="1" applyBorder="1" applyFill="1" applyFont="1">
      <alignment horizontal="center" readingOrder="0" vertical="center"/>
    </xf>
    <xf borderId="15" fillId="0" fontId="16" numFmtId="0" xfId="0" applyAlignment="1" applyBorder="1" applyFont="1">
      <alignment readingOrder="0"/>
    </xf>
    <xf borderId="12" fillId="0" fontId="16" numFmtId="0" xfId="0" applyAlignment="1" applyBorder="1" applyFont="1">
      <alignment readingOrder="0"/>
    </xf>
    <xf borderId="0" fillId="8" fontId="16" numFmtId="166" xfId="0" applyAlignment="1" applyFill="1" applyFont="1" applyNumberFormat="1">
      <alignment horizontal="center" readingOrder="0" vertical="center"/>
    </xf>
    <xf borderId="0" fillId="8" fontId="16" numFmtId="0" xfId="0" applyAlignment="1" applyFill="1" applyFont="1">
      <alignment horizontal="center" readingOrder="0" vertical="center"/>
    </xf>
    <xf borderId="0" fillId="9" fontId="16" numFmtId="0" xfId="0" applyAlignment="1" applyFill="1" applyFont="1">
      <alignment horizontal="center" readingOrder="0" vertical="center"/>
    </xf>
    <xf borderId="0" fillId="0" fontId="16" numFmtId="164" xfId="0" applyAlignment="1" applyFont="1" applyNumberFormat="1">
      <alignment horizontal="center" readingOrder="0" vertical="center"/>
    </xf>
    <xf borderId="11" fillId="0" fontId="16" numFmtId="164" xfId="0" applyAlignment="1" applyBorder="1" applyFont="1" applyNumberFormat="1">
      <alignment horizontal="center" readingOrder="0" vertical="center"/>
    </xf>
    <xf borderId="4" fillId="9" fontId="16" numFmtId="0" xfId="0" applyAlignment="1" applyBorder="1" applyFill="1" applyFont="1">
      <alignment horizontal="center" readingOrder="0" vertical="center"/>
    </xf>
    <xf borderId="14" fillId="9" fontId="16" numFmtId="0" xfId="0" applyAlignment="1" applyBorder="1" applyFill="1" applyFont="1">
      <alignment horizontal="center" readingOrder="0" vertical="center"/>
    </xf>
    <xf borderId="0" fillId="0" fontId="16" numFmtId="0" xfId="0" applyAlignment="1" applyFont="1">
      <alignment horizontal="right" readingOrder="0"/>
    </xf>
    <xf borderId="1" fillId="0" fontId="18" numFmtId="0" xfId="0" applyAlignment="1" applyBorder="1" applyFont="1">
      <alignment horizontal="center"/>
    </xf>
    <xf borderId="13" fillId="11" fontId="16" numFmtId="0" xfId="0" applyAlignment="1" applyBorder="1" applyFill="1" applyFont="1">
      <alignment horizontal="left" readingOrder="0"/>
    </xf>
    <xf borderId="6" fillId="11" fontId="16" numFmtId="0" xfId="0" applyAlignment="1" applyBorder="1" applyFill="1" applyFont="1">
      <alignment horizontal="center" readingOrder="0"/>
    </xf>
    <xf borderId="6" fillId="11" fontId="16" numFmtId="0" xfId="0" applyAlignment="1" applyBorder="1" applyFill="1" applyFont="1">
      <alignment horizontal="center"/>
    </xf>
    <xf borderId="0" fillId="0" fontId="16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a Lưu" id="{38f5fba1-ebdb-4f7f-ab07-9ed84936b6a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7-29T13:58:40.00" personId="{38f5fba1-ebdb-4f7f-ab07-9ed84936b6a1}" id="{42ba34c4-e87a-4960-b47e-953fbebbb797}" done="1">
    <x18tc:text xml:space="preserve">Tính đúng với số tháng hiện tại bằng hoặc bé hơn 1 so với số tháng chỉ định ở ô I6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4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5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3.88"/>
    <col customWidth="1" min="4" max="4" width="25.0"/>
    <col customWidth="1" min="5" max="5" width="13.0"/>
    <col customWidth="1" min="6" max="6" width="17.75"/>
    <col customWidth="1" min="7" max="7" width="16.0"/>
    <col customWidth="1" min="8" max="8" width="16.63"/>
    <col customWidth="1" min="9" max="9" width="15.0"/>
    <col customWidth="1" min="10" max="10" width="14.63"/>
    <col customWidth="1" min="11" max="11" width="15.88"/>
    <col customWidth="1" min="12" max="12" width="15.0"/>
    <col customWidth="1" min="13" max="13" width="18.25"/>
    <col customWidth="1" min="15" max="15" width="8.63"/>
    <col customWidth="1" min="16" max="16" width="22.88"/>
  </cols>
  <sheetData>
    <row r="1" ht="22.5" customHeight="1">
      <c r="A1" s="1" t="s">
        <v>0</v>
      </c>
      <c r="B1" s="2"/>
      <c r="C1" s="2"/>
      <c r="D1" s="3"/>
      <c r="E1" s="4"/>
      <c r="F1" s="1" t="s">
        <v>1</v>
      </c>
      <c r="G1" s="2"/>
      <c r="H1" s="2"/>
      <c r="I1" s="3"/>
      <c r="J1" s="5"/>
      <c r="L1" s="6" t="s">
        <v>2</v>
      </c>
      <c r="M1" s="2"/>
      <c r="N1" s="3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 t="s">
        <v>3</v>
      </c>
      <c r="B2" s="8"/>
      <c r="C2" s="9" t="s">
        <v>4</v>
      </c>
      <c r="D2" s="8"/>
      <c r="E2" s="10"/>
      <c r="F2" s="7" t="s">
        <v>5</v>
      </c>
      <c r="G2" s="8"/>
      <c r="H2" s="11" t="s">
        <v>4</v>
      </c>
      <c r="I2" s="12" t="s">
        <v>6</v>
      </c>
      <c r="L2" s="13" t="s">
        <v>7</v>
      </c>
      <c r="M2" s="13" t="s">
        <v>8</v>
      </c>
      <c r="N2" s="13" t="s">
        <v>9</v>
      </c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4"/>
      <c r="B3" s="3"/>
      <c r="C3" s="15"/>
      <c r="D3" s="3"/>
      <c r="E3" s="16"/>
      <c r="F3" s="17" t="s">
        <v>10</v>
      </c>
      <c r="G3" s="8"/>
      <c r="H3" s="18">
        <v>1700.0</v>
      </c>
      <c r="I3" s="18">
        <v>1.0</v>
      </c>
      <c r="L3" s="19">
        <v>1.0</v>
      </c>
      <c r="M3" s="19">
        <v>5000.0</v>
      </c>
      <c r="N3" s="20">
        <v>46053.0</v>
      </c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4"/>
      <c r="B4" s="3"/>
      <c r="C4" s="15"/>
      <c r="D4" s="3"/>
      <c r="E4" s="16"/>
      <c r="F4" s="21" t="s">
        <v>11</v>
      </c>
      <c r="G4" s="22"/>
      <c r="H4" s="23">
        <v>52.0</v>
      </c>
      <c r="I4" s="23">
        <v>12.0</v>
      </c>
      <c r="L4" s="19">
        <v>2.0</v>
      </c>
      <c r="M4" s="19">
        <v>2000.0</v>
      </c>
      <c r="N4" s="20">
        <v>46081.0</v>
      </c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4"/>
      <c r="B5" s="3"/>
      <c r="C5" s="24"/>
      <c r="D5" s="3"/>
      <c r="E5" s="25"/>
      <c r="F5" s="21" t="s">
        <v>12</v>
      </c>
      <c r="G5" s="22"/>
      <c r="H5" s="23">
        <v>5000.0</v>
      </c>
      <c r="I5" s="23">
        <v>15.0</v>
      </c>
      <c r="L5" s="19">
        <v>3.0</v>
      </c>
      <c r="M5" s="19">
        <v>1000.0</v>
      </c>
      <c r="N5" s="20">
        <v>46112.0</v>
      </c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4"/>
      <c r="B6" s="3"/>
      <c r="C6" s="15"/>
      <c r="D6" s="3"/>
      <c r="E6" s="16"/>
      <c r="F6" s="21" t="s">
        <v>13</v>
      </c>
      <c r="G6" s="22"/>
      <c r="H6" s="23">
        <v>70.0</v>
      </c>
      <c r="I6" s="23">
        <v>26.0</v>
      </c>
      <c r="L6" s="19">
        <v>4.0</v>
      </c>
      <c r="M6" s="19">
        <v>500.0</v>
      </c>
      <c r="N6" s="20">
        <v>46116.0</v>
      </c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5"/>
      <c r="C7" s="5"/>
      <c r="D7" s="5"/>
      <c r="E7" s="16"/>
      <c r="F7" s="26"/>
      <c r="G7" s="27"/>
      <c r="H7" s="28"/>
      <c r="I7" s="28"/>
      <c r="L7" s="19">
        <v>5.0</v>
      </c>
      <c r="M7" s="19">
        <v>1000.0</v>
      </c>
      <c r="N7" s="20">
        <v>46142.0</v>
      </c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" t="s">
        <v>14</v>
      </c>
      <c r="B8" s="2"/>
      <c r="C8" s="2"/>
      <c r="D8" s="3"/>
      <c r="E8" s="5"/>
      <c r="F8" s="29"/>
      <c r="G8" s="29"/>
      <c r="H8" s="30"/>
      <c r="I8" s="5"/>
      <c r="L8" s="19">
        <v>6.0</v>
      </c>
      <c r="M8" s="19">
        <v>500.0</v>
      </c>
      <c r="N8" s="20">
        <v>46147.0</v>
      </c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" t="s">
        <v>15</v>
      </c>
      <c r="B9" s="8"/>
      <c r="C9" s="31" t="s">
        <v>4</v>
      </c>
      <c r="D9" s="32" t="s">
        <v>16</v>
      </c>
      <c r="E9" s="33"/>
      <c r="F9" s="29"/>
      <c r="G9" s="29"/>
      <c r="H9" s="29"/>
      <c r="I9" s="29"/>
      <c r="J9" s="29"/>
      <c r="L9" s="19">
        <v>7.0</v>
      </c>
      <c r="M9" s="19">
        <v>1000.0</v>
      </c>
      <c r="N9" s="34">
        <v>46233.0</v>
      </c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5" t="s">
        <v>17</v>
      </c>
      <c r="B10" s="22"/>
      <c r="C10" s="36">
        <v>2750.0</v>
      </c>
      <c r="D10" s="18" t="s">
        <v>18</v>
      </c>
      <c r="E10" s="5"/>
      <c r="F10" s="29"/>
      <c r="G10" s="29"/>
      <c r="H10" s="29"/>
      <c r="I10" s="29"/>
      <c r="J10" s="29"/>
      <c r="L10" s="19">
        <v>8.0</v>
      </c>
      <c r="M10" s="37"/>
      <c r="N10" s="37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5" t="s">
        <v>19</v>
      </c>
      <c r="B11" s="22"/>
      <c r="C11" s="36">
        <v>3000.0</v>
      </c>
      <c r="D11" s="23" t="s">
        <v>18</v>
      </c>
      <c r="E11" s="5"/>
      <c r="F11" s="29"/>
      <c r="G11" s="29"/>
      <c r="H11" s="29"/>
      <c r="I11" s="38"/>
      <c r="J11" s="29"/>
      <c r="L11" s="19">
        <v>9.0</v>
      </c>
      <c r="M11" s="37"/>
      <c r="N11" s="37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5" t="s">
        <v>20</v>
      </c>
      <c r="B12" s="22"/>
      <c r="C12" s="36">
        <v>400.0</v>
      </c>
      <c r="D12" s="23"/>
      <c r="E12" s="5"/>
      <c r="F12" s="29"/>
      <c r="G12" s="29"/>
      <c r="H12" s="29"/>
      <c r="I12" s="38"/>
      <c r="J12" s="29"/>
      <c r="L12" s="19">
        <v>10.0</v>
      </c>
      <c r="M12" s="37"/>
      <c r="N12" s="37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1"/>
      <c r="B13" s="22"/>
      <c r="C13" s="23"/>
      <c r="D13" s="23"/>
      <c r="E13" s="5"/>
      <c r="F13" s="29"/>
      <c r="G13" s="29"/>
      <c r="H13" s="29"/>
      <c r="I13" s="38"/>
      <c r="J13" s="29"/>
      <c r="L13" s="19">
        <v>11.0</v>
      </c>
      <c r="M13" s="37"/>
      <c r="N13" s="37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1"/>
      <c r="B14" s="22"/>
      <c r="C14" s="23"/>
      <c r="D14" s="23"/>
      <c r="E14" s="5"/>
      <c r="F14" s="29"/>
      <c r="G14" s="29"/>
      <c r="H14" s="29"/>
      <c r="I14" s="38"/>
      <c r="J14" s="29"/>
      <c r="L14" s="19">
        <v>12.0</v>
      </c>
      <c r="M14" s="37"/>
      <c r="N14" s="37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1"/>
      <c r="B15" s="22"/>
      <c r="C15" s="23"/>
      <c r="D15" s="23"/>
      <c r="E15" s="5"/>
      <c r="F15" s="29"/>
      <c r="G15" s="29"/>
      <c r="H15" s="29"/>
      <c r="I15" s="38"/>
      <c r="J15" s="29"/>
      <c r="L15" s="19">
        <v>13.0</v>
      </c>
      <c r="M15" s="37"/>
      <c r="N15" s="37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6"/>
      <c r="B16" s="27"/>
      <c r="C16" s="28"/>
      <c r="D16" s="28"/>
      <c r="E16" s="5"/>
      <c r="F16" s="29"/>
      <c r="G16" s="29"/>
      <c r="H16" s="29"/>
      <c r="I16" s="38"/>
      <c r="J16" s="29"/>
      <c r="L16" s="19">
        <v>14.0</v>
      </c>
      <c r="M16" s="37"/>
      <c r="N16" s="37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E17" s="5"/>
      <c r="F17" s="29"/>
      <c r="G17" s="29"/>
      <c r="H17" s="29"/>
      <c r="I17" s="38"/>
      <c r="J17" s="29"/>
      <c r="L17" s="19">
        <v>15.0</v>
      </c>
      <c r="M17" s="37"/>
      <c r="N17" s="37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E18" s="5"/>
      <c r="F18" s="29"/>
      <c r="G18" s="29"/>
      <c r="H18" s="29"/>
      <c r="I18" s="38"/>
      <c r="J18" s="29"/>
      <c r="L18" s="19">
        <v>16.0</v>
      </c>
      <c r="M18" s="37"/>
      <c r="N18" s="37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E19" s="5"/>
      <c r="F19" s="29"/>
      <c r="G19" s="29"/>
      <c r="H19" s="29"/>
      <c r="I19" s="38"/>
      <c r="J19" s="29"/>
      <c r="L19" s="19">
        <v>17.0</v>
      </c>
      <c r="M19" s="37"/>
      <c r="N19" s="37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E20" s="5"/>
      <c r="F20" s="29"/>
      <c r="G20" s="29"/>
      <c r="H20" s="29"/>
      <c r="I20" s="38"/>
      <c r="J20" s="29"/>
      <c r="L20" s="13" t="s">
        <v>21</v>
      </c>
      <c r="M20" s="39">
        <f>SUM(M3:M19)</f>
        <v>11000</v>
      </c>
      <c r="N20" s="13" t="s">
        <v>22</v>
      </c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E21" s="25"/>
      <c r="F21" s="29"/>
      <c r="G21" s="29"/>
      <c r="H21" s="29"/>
      <c r="I21" s="29"/>
      <c r="J21" s="29"/>
      <c r="K21" s="5"/>
      <c r="L21" s="5"/>
      <c r="M21" s="5"/>
      <c r="N21" s="5"/>
      <c r="O21" s="40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E22" s="25"/>
      <c r="F22" s="29"/>
      <c r="G22" s="29"/>
      <c r="H22" s="29"/>
      <c r="I22" s="29"/>
      <c r="J22" s="29"/>
      <c r="K22" s="5"/>
      <c r="L22" s="5"/>
      <c r="M22" s="5"/>
      <c r="N22" s="5"/>
      <c r="O22" s="40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E23" s="25"/>
      <c r="F23" s="29"/>
      <c r="G23" s="29"/>
      <c r="H23" s="29"/>
      <c r="I23" s="29"/>
      <c r="J23" s="29"/>
      <c r="K23" s="5"/>
      <c r="L23" s="5"/>
      <c r="M23" s="5"/>
      <c r="N23" s="5"/>
      <c r="O23" s="40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E24" s="25"/>
      <c r="F24" s="29"/>
      <c r="I24" s="29"/>
      <c r="J24" s="29"/>
      <c r="K24" s="5"/>
      <c r="L24" s="5"/>
      <c r="M24" s="5"/>
      <c r="N24" s="5"/>
      <c r="O24" s="40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E25" s="25"/>
      <c r="K25" s="5"/>
      <c r="L25" s="5"/>
      <c r="M25" s="5"/>
      <c r="N25" s="5"/>
      <c r="O25" s="40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E26" s="25"/>
      <c r="F26" s="29"/>
      <c r="G26" s="29"/>
      <c r="H26" s="29"/>
      <c r="I26" s="29"/>
      <c r="K26" s="5"/>
      <c r="L26" s="5"/>
      <c r="M26" s="5"/>
      <c r="N26" s="41"/>
      <c r="O26" s="40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F27" s="29"/>
      <c r="G27" s="29"/>
      <c r="H27" s="29"/>
      <c r="I27" s="29"/>
      <c r="J27" s="29"/>
      <c r="K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G28" s="5"/>
      <c r="H28" s="5"/>
      <c r="I28" s="42"/>
      <c r="J28" s="5"/>
      <c r="K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G29" s="5"/>
      <c r="H29" s="5"/>
      <c r="I29" s="5"/>
      <c r="J29" s="5"/>
      <c r="K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43"/>
      <c r="G30" s="5"/>
      <c r="H30" s="5"/>
      <c r="I30" s="5"/>
      <c r="J30" s="5"/>
      <c r="K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43"/>
      <c r="D31" s="29" t="s">
        <v>23</v>
      </c>
      <c r="G31" s="5"/>
      <c r="H31" s="5"/>
      <c r="I31" s="5"/>
      <c r="J31" s="5"/>
      <c r="K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43"/>
      <c r="G32" s="5"/>
      <c r="H32" s="5"/>
      <c r="I32" s="5"/>
      <c r="J32" s="5"/>
      <c r="K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43"/>
      <c r="G33" s="5"/>
      <c r="H33" s="5"/>
      <c r="I33" s="5"/>
      <c r="J33" s="5"/>
      <c r="K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43"/>
      <c r="G34" s="5"/>
      <c r="H34" s="5"/>
      <c r="I34" s="5"/>
      <c r="J34" s="5"/>
      <c r="K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43"/>
      <c r="G35" s="5"/>
      <c r="H35" s="5"/>
      <c r="I35" s="5"/>
      <c r="J35" s="5"/>
      <c r="K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43"/>
      <c r="G36" s="5"/>
      <c r="H36" s="5"/>
      <c r="I36" s="5"/>
      <c r="J36" s="5"/>
      <c r="K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43"/>
      <c r="G37" s="5"/>
      <c r="H37" s="5"/>
      <c r="I37" s="5"/>
      <c r="J37" s="5"/>
      <c r="K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43"/>
      <c r="G38" s="5"/>
      <c r="H38" s="5"/>
      <c r="I38" s="5"/>
      <c r="J38" s="5"/>
      <c r="K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43"/>
      <c r="G39" s="5"/>
      <c r="H39" s="5"/>
      <c r="I39" s="5"/>
      <c r="J39" s="5"/>
      <c r="K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43"/>
      <c r="G40" s="5"/>
      <c r="H40" s="5"/>
      <c r="I40" s="5"/>
      <c r="J40" s="5"/>
      <c r="K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43"/>
      <c r="G41" s="5"/>
      <c r="H41" s="5"/>
      <c r="I41" s="5"/>
      <c r="J41" s="5"/>
      <c r="K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43"/>
      <c r="G42" s="5"/>
      <c r="H42" s="5"/>
      <c r="I42" s="5"/>
      <c r="J42" s="5"/>
      <c r="K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29"/>
      <c r="B43" s="29"/>
      <c r="C43" s="29"/>
      <c r="D43" s="29"/>
      <c r="F43" s="5"/>
      <c r="G43" s="5"/>
      <c r="H43" s="5"/>
      <c r="I43" s="5"/>
      <c r="J43" s="5"/>
      <c r="K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29"/>
      <c r="B44" s="29"/>
      <c r="C44" s="29"/>
      <c r="D44" s="29"/>
      <c r="F44" s="5"/>
      <c r="G44" s="5"/>
      <c r="H44" s="5"/>
      <c r="I44" s="5"/>
      <c r="J44" s="5"/>
      <c r="K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29"/>
      <c r="B45" s="29"/>
      <c r="C45" s="38"/>
      <c r="D45" s="29"/>
      <c r="F45" s="5"/>
      <c r="G45" s="5"/>
      <c r="H45" s="5"/>
      <c r="I45" s="5"/>
      <c r="J45" s="5"/>
      <c r="K45" s="5"/>
      <c r="L45" s="5"/>
      <c r="M45" s="5"/>
      <c r="N45" s="5"/>
      <c r="O45" s="40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29"/>
      <c r="B46" s="29"/>
      <c r="C46" s="38"/>
      <c r="D46" s="29"/>
      <c r="F46" s="5"/>
      <c r="G46" s="5"/>
      <c r="H46" s="5"/>
      <c r="I46" s="5"/>
      <c r="J46" s="5"/>
      <c r="K46" s="5"/>
      <c r="L46" s="5"/>
      <c r="M46" s="5"/>
      <c r="N46" s="5"/>
      <c r="O46" s="40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29"/>
      <c r="B47" s="29"/>
      <c r="C47" s="38"/>
      <c r="F47" s="5"/>
      <c r="G47" s="5"/>
      <c r="H47" s="5"/>
      <c r="I47" s="5"/>
      <c r="J47" s="5"/>
      <c r="K47" s="5"/>
      <c r="L47" s="5"/>
      <c r="M47" s="5"/>
      <c r="N47" s="5"/>
      <c r="O47" s="40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29"/>
      <c r="B48" s="29"/>
      <c r="C48" s="38"/>
      <c r="F48" s="5"/>
      <c r="G48" s="5"/>
      <c r="H48" s="5"/>
      <c r="I48" s="5"/>
      <c r="J48" s="5"/>
      <c r="K48" s="5"/>
      <c r="L48" s="5"/>
      <c r="M48" s="5"/>
      <c r="N48" s="5"/>
      <c r="O48" s="40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29"/>
      <c r="B49" s="29"/>
      <c r="C49" s="38"/>
      <c r="F49" s="5"/>
      <c r="G49" s="5"/>
      <c r="H49" s="5"/>
      <c r="I49" s="5"/>
      <c r="J49" s="5"/>
      <c r="K49" s="5"/>
      <c r="L49" s="5"/>
      <c r="M49" s="5"/>
      <c r="N49" s="5"/>
      <c r="O49" s="40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29"/>
      <c r="B50" s="29"/>
      <c r="C50" s="38"/>
      <c r="F50" s="5"/>
      <c r="G50" s="5"/>
      <c r="H50" s="5"/>
      <c r="I50" s="5"/>
      <c r="J50" s="5"/>
      <c r="K50" s="5"/>
      <c r="L50" s="5"/>
      <c r="M50" s="5"/>
      <c r="N50" s="5"/>
      <c r="O50" s="40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43"/>
      <c r="F51" s="5"/>
      <c r="G51" s="5"/>
      <c r="H51" s="5"/>
      <c r="I51" s="5"/>
      <c r="J51" s="5"/>
      <c r="K51" s="5"/>
      <c r="L51" s="5"/>
      <c r="M51" s="5"/>
      <c r="N51" s="5"/>
      <c r="O51" s="40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43"/>
      <c r="F52" s="5"/>
      <c r="G52" s="5"/>
      <c r="H52" s="5"/>
      <c r="I52" s="5"/>
      <c r="J52" s="5"/>
      <c r="K52" s="5"/>
      <c r="L52" s="5"/>
      <c r="M52" s="5"/>
      <c r="N52" s="5"/>
      <c r="O52" s="40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43"/>
      <c r="F53" s="5"/>
      <c r="G53" s="5"/>
      <c r="H53" s="5"/>
      <c r="I53" s="5"/>
      <c r="J53" s="5"/>
      <c r="K53" s="5"/>
      <c r="L53" s="5"/>
      <c r="M53" s="5"/>
      <c r="N53" s="5"/>
      <c r="O53" s="40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43"/>
      <c r="F54" s="5"/>
      <c r="G54" s="5"/>
      <c r="H54" s="5"/>
      <c r="I54" s="5"/>
      <c r="J54" s="5"/>
      <c r="K54" s="5"/>
      <c r="L54" s="5"/>
      <c r="M54" s="5"/>
      <c r="N54" s="5"/>
      <c r="O54" s="40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43"/>
      <c r="F55" s="5"/>
      <c r="G55" s="5"/>
      <c r="H55" s="5"/>
      <c r="I55" s="5"/>
      <c r="J55" s="5"/>
      <c r="K55" s="5"/>
      <c r="L55" s="5"/>
      <c r="M55" s="5"/>
      <c r="N55" s="5"/>
      <c r="O55" s="40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43"/>
      <c r="F56" s="5"/>
      <c r="G56" s="5"/>
      <c r="H56" s="5"/>
      <c r="I56" s="5"/>
      <c r="J56" s="5"/>
      <c r="K56" s="5"/>
      <c r="L56" s="5"/>
      <c r="M56" s="5"/>
      <c r="N56" s="5"/>
      <c r="O56" s="40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43"/>
      <c r="F57" s="5"/>
      <c r="G57" s="5"/>
      <c r="H57" s="5"/>
      <c r="I57" s="5"/>
      <c r="J57" s="5"/>
      <c r="K57" s="5"/>
      <c r="L57" s="5"/>
      <c r="M57" s="5"/>
      <c r="N57" s="5"/>
      <c r="O57" s="40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43"/>
      <c r="F58" s="5"/>
      <c r="G58" s="5"/>
      <c r="H58" s="5"/>
      <c r="I58" s="5"/>
      <c r="J58" s="5"/>
      <c r="K58" s="5"/>
      <c r="L58" s="5"/>
      <c r="M58" s="5"/>
      <c r="N58" s="5"/>
      <c r="O58" s="40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29"/>
      <c r="B59" s="29"/>
      <c r="C59" s="29"/>
      <c r="D59" s="29"/>
      <c r="E59" s="29"/>
      <c r="F59" s="5"/>
      <c r="G59" s="44"/>
      <c r="H59" s="44"/>
      <c r="I59" s="5"/>
      <c r="J59" s="5"/>
      <c r="K59" s="5"/>
      <c r="L59" s="5"/>
      <c r="M59" s="5"/>
      <c r="N59" s="5"/>
      <c r="O59" s="40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29"/>
      <c r="B60" s="45"/>
      <c r="C60" s="45"/>
      <c r="D60" s="45"/>
      <c r="E60" s="46"/>
      <c r="F60" s="5"/>
      <c r="G60" s="5"/>
      <c r="H60" s="5"/>
      <c r="I60" s="5"/>
      <c r="J60" s="5"/>
      <c r="K60" s="5"/>
      <c r="L60" s="5"/>
      <c r="M60" s="5"/>
      <c r="N60" s="5"/>
      <c r="O60" s="40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29"/>
      <c r="B61" s="45"/>
      <c r="C61" s="45"/>
      <c r="D61" s="45"/>
      <c r="E61" s="46"/>
      <c r="F61" s="5"/>
      <c r="G61" s="5"/>
      <c r="H61" s="5"/>
      <c r="I61" s="5"/>
      <c r="J61" s="5"/>
      <c r="K61" s="5"/>
      <c r="L61" s="5"/>
      <c r="M61" s="5"/>
      <c r="N61" s="5"/>
      <c r="O61" s="40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29"/>
      <c r="B62" s="45"/>
      <c r="C62" s="45"/>
      <c r="D62" s="45"/>
      <c r="E62" s="46"/>
      <c r="F62" s="5"/>
      <c r="G62" s="5"/>
      <c r="H62" s="5"/>
      <c r="I62" s="5"/>
      <c r="J62" s="5"/>
      <c r="K62" s="5"/>
      <c r="L62" s="5"/>
      <c r="M62" s="5"/>
      <c r="N62" s="5"/>
      <c r="O62" s="40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29"/>
      <c r="B63" s="45"/>
      <c r="C63" s="45"/>
      <c r="D63" s="45"/>
      <c r="E63" s="46"/>
      <c r="F63" s="5"/>
      <c r="G63" s="5"/>
      <c r="H63" s="5"/>
      <c r="I63" s="5"/>
      <c r="J63" s="5"/>
      <c r="K63" s="5"/>
      <c r="L63" s="5"/>
      <c r="M63" s="5"/>
      <c r="N63" s="5"/>
      <c r="O63" s="40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29"/>
      <c r="B64" s="45"/>
      <c r="C64" s="45"/>
      <c r="D64" s="45"/>
      <c r="E64" s="46"/>
      <c r="F64" s="5"/>
      <c r="G64" s="5"/>
      <c r="H64" s="5"/>
      <c r="I64" s="5"/>
      <c r="J64" s="5"/>
      <c r="K64" s="5"/>
      <c r="L64" s="5"/>
      <c r="M64" s="5"/>
      <c r="N64" s="5"/>
      <c r="O64" s="40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29"/>
      <c r="B65" s="45"/>
      <c r="C65" s="45"/>
      <c r="D65" s="45"/>
      <c r="E65" s="46"/>
      <c r="F65" s="5"/>
      <c r="G65" s="5"/>
      <c r="H65" s="5"/>
      <c r="I65" s="5"/>
      <c r="J65" s="5"/>
      <c r="K65" s="5"/>
      <c r="L65" s="5"/>
      <c r="M65" s="5"/>
      <c r="N65" s="5"/>
      <c r="O65" s="40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29"/>
      <c r="B66" s="45"/>
      <c r="C66" s="45"/>
      <c r="D66" s="45"/>
      <c r="E66" s="46"/>
      <c r="F66" s="5"/>
      <c r="G66" s="5"/>
      <c r="H66" s="5"/>
      <c r="I66" s="5"/>
      <c r="J66" s="5"/>
      <c r="K66" s="5"/>
      <c r="L66" s="5"/>
      <c r="M66" s="5"/>
      <c r="N66" s="5"/>
      <c r="O66" s="40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29"/>
      <c r="B67" s="45"/>
      <c r="C67" s="45"/>
      <c r="D67" s="45"/>
      <c r="E67" s="46"/>
      <c r="F67" s="5"/>
      <c r="G67" s="5"/>
      <c r="H67" s="5"/>
      <c r="I67" s="5"/>
      <c r="J67" s="5"/>
      <c r="K67" s="5"/>
      <c r="L67" s="5"/>
      <c r="M67" s="5"/>
      <c r="N67" s="5"/>
      <c r="O67" s="40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43"/>
      <c r="F68" s="5"/>
      <c r="G68" s="5"/>
      <c r="H68" s="5"/>
      <c r="I68" s="5"/>
      <c r="J68" s="5"/>
      <c r="K68" s="5"/>
      <c r="L68" s="5"/>
      <c r="M68" s="5"/>
      <c r="N68" s="5"/>
      <c r="O68" s="40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47"/>
      <c r="B69" s="5"/>
      <c r="C69" s="4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40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47"/>
      <c r="B70" s="5"/>
      <c r="C70" s="4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40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47"/>
      <c r="B71" s="5"/>
      <c r="C71" s="4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40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47"/>
      <c r="B72" s="5"/>
      <c r="C72" s="4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40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47"/>
      <c r="B73" s="5"/>
      <c r="C73" s="4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40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47"/>
      <c r="B74" s="5"/>
      <c r="C74" s="4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40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47"/>
      <c r="B75" s="5"/>
      <c r="C75" s="4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40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47"/>
      <c r="B76" s="5"/>
      <c r="C76" s="4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40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47"/>
      <c r="B77" s="5"/>
      <c r="C77" s="4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40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47"/>
      <c r="B78" s="5"/>
      <c r="C78" s="4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40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47"/>
      <c r="B79" s="5"/>
      <c r="C79" s="4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40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47"/>
      <c r="B80" s="5"/>
      <c r="C80" s="4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40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47"/>
      <c r="B81" s="5"/>
      <c r="C81" s="4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40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47"/>
      <c r="B82" s="5"/>
      <c r="C82" s="4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40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47"/>
      <c r="B83" s="5"/>
      <c r="C83" s="4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40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47"/>
      <c r="B84" s="5"/>
      <c r="C84" s="4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40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47"/>
      <c r="B85" s="5"/>
      <c r="C85" s="4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40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47"/>
      <c r="B86" s="5"/>
      <c r="C86" s="4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40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47"/>
      <c r="B87" s="5"/>
      <c r="C87" s="4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40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47"/>
      <c r="B88" s="5"/>
      <c r="C88" s="4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40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47"/>
      <c r="B89" s="5"/>
      <c r="C89" s="4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40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47"/>
      <c r="B90" s="5"/>
      <c r="C90" s="4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40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47"/>
      <c r="B91" s="5"/>
      <c r="C91" s="4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40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47"/>
      <c r="B92" s="5"/>
      <c r="C92" s="4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40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47"/>
      <c r="B93" s="5"/>
      <c r="C93" s="4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40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47"/>
      <c r="B94" s="5"/>
      <c r="C94" s="4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40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47"/>
      <c r="B95" s="5"/>
      <c r="C95" s="4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40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47"/>
      <c r="B96" s="5"/>
      <c r="C96" s="4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40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47"/>
      <c r="B97" s="5"/>
      <c r="C97" s="4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40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47"/>
      <c r="B98" s="5"/>
      <c r="C98" s="4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40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47"/>
      <c r="B99" s="5"/>
      <c r="C99" s="4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40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47"/>
      <c r="B100" s="5"/>
      <c r="C100" s="4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40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47"/>
      <c r="B101" s="5"/>
      <c r="C101" s="4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40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47"/>
      <c r="B102" s="5"/>
      <c r="C102" s="4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40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47"/>
      <c r="B103" s="5"/>
      <c r="C103" s="4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40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47"/>
      <c r="B104" s="5"/>
      <c r="C104" s="4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40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47"/>
      <c r="B105" s="5"/>
      <c r="C105" s="4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40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47"/>
      <c r="B106" s="5"/>
      <c r="C106" s="4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40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47"/>
      <c r="B107" s="5"/>
      <c r="C107" s="4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40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47"/>
      <c r="B108" s="5"/>
      <c r="C108" s="4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40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47"/>
      <c r="B109" s="5"/>
      <c r="C109" s="4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40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47"/>
      <c r="B110" s="5"/>
      <c r="C110" s="40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40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47"/>
      <c r="B111" s="5"/>
      <c r="C111" s="4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40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47"/>
      <c r="B112" s="5"/>
      <c r="C112" s="4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40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47"/>
      <c r="B113" s="5"/>
      <c r="C113" s="40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40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47"/>
      <c r="B114" s="5"/>
      <c r="C114" s="40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40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47"/>
      <c r="B115" s="5"/>
      <c r="C115" s="40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40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47"/>
      <c r="B116" s="5"/>
      <c r="C116" s="4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40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47"/>
      <c r="B117" s="5"/>
      <c r="C117" s="4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40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47"/>
      <c r="B118" s="5"/>
      <c r="C118" s="4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40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47"/>
      <c r="B119" s="5"/>
      <c r="C119" s="4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40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47"/>
      <c r="B120" s="5"/>
      <c r="C120" s="40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40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47"/>
      <c r="B121" s="5"/>
      <c r="C121" s="4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40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47"/>
      <c r="B122" s="5"/>
      <c r="C122" s="4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40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47"/>
      <c r="B123" s="5"/>
      <c r="C123" s="40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40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47"/>
      <c r="B124" s="5"/>
      <c r="C124" s="40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40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47"/>
      <c r="B125" s="5"/>
      <c r="C125" s="4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40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47"/>
      <c r="B126" s="5"/>
      <c r="C126" s="4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40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47"/>
      <c r="B127" s="5"/>
      <c r="C127" s="4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40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47"/>
      <c r="B128" s="5"/>
      <c r="C128" s="4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40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47"/>
      <c r="B129" s="5"/>
      <c r="C129" s="4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40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47"/>
      <c r="B130" s="5"/>
      <c r="C130" s="4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40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47"/>
      <c r="B131" s="5"/>
      <c r="C131" s="40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40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47"/>
      <c r="B132" s="5"/>
      <c r="C132" s="40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40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47"/>
      <c r="B133" s="5"/>
      <c r="C133" s="40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40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47"/>
      <c r="B134" s="5"/>
      <c r="C134" s="40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40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47"/>
      <c r="B135" s="5"/>
      <c r="C135" s="4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40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47"/>
      <c r="B136" s="5"/>
      <c r="C136" s="4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40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47"/>
      <c r="B137" s="5"/>
      <c r="C137" s="4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40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47"/>
      <c r="B138" s="5"/>
      <c r="C138" s="4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40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47"/>
      <c r="B139" s="5"/>
      <c r="C139" s="4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40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47"/>
      <c r="B140" s="5"/>
      <c r="C140" s="40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40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47"/>
      <c r="B141" s="5"/>
      <c r="C141" s="40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40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47"/>
      <c r="B142" s="5"/>
      <c r="C142" s="40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40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47"/>
      <c r="B143" s="5"/>
      <c r="C143" s="40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40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47"/>
      <c r="B144" s="5"/>
      <c r="C144" s="40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40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47"/>
      <c r="B145" s="5"/>
      <c r="C145" s="40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40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47"/>
      <c r="B146" s="5"/>
      <c r="C146" s="4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40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47"/>
      <c r="B147" s="5"/>
      <c r="C147" s="4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40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47"/>
      <c r="B148" s="5"/>
      <c r="C148" s="4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40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47"/>
      <c r="B149" s="5"/>
      <c r="C149" s="4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40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47"/>
      <c r="B150" s="5"/>
      <c r="C150" s="40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40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47"/>
      <c r="B151" s="5"/>
      <c r="C151" s="40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40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47"/>
      <c r="B152" s="5"/>
      <c r="C152" s="40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40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47"/>
      <c r="B153" s="5"/>
      <c r="C153" s="40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40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47"/>
      <c r="B154" s="5"/>
      <c r="C154" s="40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40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47"/>
      <c r="B155" s="5"/>
      <c r="C155" s="40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40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47"/>
      <c r="B156" s="5"/>
      <c r="C156" s="4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40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47"/>
      <c r="B157" s="5"/>
      <c r="C157" s="4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40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47"/>
      <c r="B158" s="5"/>
      <c r="C158" s="4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40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47"/>
      <c r="B159" s="5"/>
      <c r="C159" s="4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40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47"/>
      <c r="B160" s="5"/>
      <c r="C160" s="4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40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47"/>
      <c r="B161" s="5"/>
      <c r="C161" s="4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40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47"/>
      <c r="B162" s="5"/>
      <c r="C162" s="40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40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47"/>
      <c r="B163" s="5"/>
      <c r="C163" s="4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40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47"/>
      <c r="B164" s="5"/>
      <c r="C164" s="40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40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47"/>
      <c r="B165" s="5"/>
      <c r="C165" s="40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40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47"/>
      <c r="B166" s="5"/>
      <c r="C166" s="4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40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47"/>
      <c r="B167" s="5"/>
      <c r="C167" s="4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40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47"/>
      <c r="B168" s="5"/>
      <c r="C168" s="4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40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47"/>
      <c r="B169" s="5"/>
      <c r="C169" s="40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40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47"/>
      <c r="B170" s="5"/>
      <c r="C170" s="40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40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47"/>
      <c r="B171" s="5"/>
      <c r="C171" s="40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40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47"/>
      <c r="B172" s="5"/>
      <c r="C172" s="40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40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47"/>
      <c r="B173" s="5"/>
      <c r="C173" s="40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40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47"/>
      <c r="B174" s="5"/>
      <c r="C174" s="40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40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47"/>
      <c r="B175" s="5"/>
      <c r="C175" s="40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40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47"/>
      <c r="B176" s="5"/>
      <c r="C176" s="4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40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47"/>
      <c r="B177" s="5"/>
      <c r="C177" s="4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40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47"/>
      <c r="B178" s="5"/>
      <c r="C178" s="40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40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47"/>
      <c r="B179" s="5"/>
      <c r="C179" s="40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40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47"/>
      <c r="B180" s="5"/>
      <c r="C180" s="40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40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47"/>
      <c r="B181" s="5"/>
      <c r="C181" s="40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40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47"/>
      <c r="B182" s="5"/>
      <c r="C182" s="40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40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47"/>
      <c r="B183" s="5"/>
      <c r="C183" s="40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40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47"/>
      <c r="B184" s="5"/>
      <c r="C184" s="40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40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47"/>
      <c r="B185" s="5"/>
      <c r="C185" s="40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40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47"/>
      <c r="B186" s="5"/>
      <c r="C186" s="4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40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47"/>
      <c r="B187" s="5"/>
      <c r="C187" s="4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40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47"/>
      <c r="B188" s="5"/>
      <c r="C188" s="4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40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47"/>
      <c r="B189" s="5"/>
      <c r="C189" s="4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40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47"/>
      <c r="B190" s="5"/>
      <c r="C190" s="40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40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47"/>
      <c r="B191" s="5"/>
      <c r="C191" s="40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40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47"/>
      <c r="B192" s="5"/>
      <c r="C192" s="40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40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47"/>
      <c r="B193" s="5"/>
      <c r="C193" s="4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40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47"/>
      <c r="B194" s="5"/>
      <c r="C194" s="4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40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47"/>
      <c r="B195" s="5"/>
      <c r="C195" s="4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40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47"/>
      <c r="B196" s="5"/>
      <c r="C196" s="4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40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47"/>
      <c r="B197" s="5"/>
      <c r="C197" s="4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40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47"/>
      <c r="B198" s="5"/>
      <c r="C198" s="4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40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47"/>
      <c r="B199" s="5"/>
      <c r="C199" s="4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40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47"/>
      <c r="B200" s="5"/>
      <c r="C200" s="4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40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47"/>
      <c r="B201" s="5"/>
      <c r="C201" s="4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40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47"/>
      <c r="B202" s="5"/>
      <c r="C202" s="4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40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47"/>
      <c r="B203" s="5"/>
      <c r="C203" s="4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40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47"/>
      <c r="B204" s="5"/>
      <c r="C204" s="4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40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47"/>
      <c r="B205" s="5"/>
      <c r="C205" s="4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40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47"/>
      <c r="B206" s="5"/>
      <c r="C206" s="4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40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47"/>
      <c r="B207" s="5"/>
      <c r="C207" s="4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40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47"/>
      <c r="B208" s="5"/>
      <c r="C208" s="4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40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47"/>
      <c r="B209" s="5"/>
      <c r="C209" s="4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40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47"/>
      <c r="B210" s="5"/>
      <c r="C210" s="4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40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47"/>
      <c r="B211" s="5"/>
      <c r="C211" s="4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40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47"/>
      <c r="B212" s="5"/>
      <c r="C212" s="4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40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47"/>
      <c r="B213" s="5"/>
      <c r="C213" s="4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40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47"/>
      <c r="B214" s="5"/>
      <c r="C214" s="4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40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47"/>
      <c r="B215" s="5"/>
      <c r="C215" s="4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40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47"/>
      <c r="B216" s="5"/>
      <c r="C216" s="4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40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47"/>
      <c r="B217" s="5"/>
      <c r="C217" s="4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40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47"/>
      <c r="B218" s="5"/>
      <c r="C218" s="4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40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47"/>
      <c r="B219" s="5"/>
      <c r="C219" s="4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40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47"/>
      <c r="B220" s="5"/>
      <c r="C220" s="4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40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47"/>
      <c r="B221" s="5"/>
      <c r="C221" s="4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40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47"/>
      <c r="B222" s="5"/>
      <c r="C222" s="4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40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47"/>
      <c r="B223" s="5"/>
      <c r="C223" s="4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40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47"/>
      <c r="B224" s="5"/>
      <c r="C224" s="4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40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47"/>
      <c r="B225" s="5"/>
      <c r="C225" s="4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40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47"/>
      <c r="B226" s="5"/>
      <c r="C226" s="4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40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47"/>
      <c r="B227" s="5"/>
      <c r="C227" s="4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40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47"/>
      <c r="B228" s="5"/>
      <c r="C228" s="4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40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47"/>
      <c r="B229" s="5"/>
      <c r="C229" s="4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40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47"/>
      <c r="B230" s="5"/>
      <c r="C230" s="4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40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47"/>
      <c r="B231" s="5"/>
      <c r="C231" s="4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40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47"/>
      <c r="B232" s="5"/>
      <c r="C232" s="4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40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47"/>
      <c r="B233" s="5"/>
      <c r="C233" s="4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40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47"/>
      <c r="B234" s="5"/>
      <c r="C234" s="4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40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47"/>
      <c r="B235" s="5"/>
      <c r="C235" s="4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40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47"/>
      <c r="B236" s="5"/>
      <c r="C236" s="4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40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47"/>
      <c r="B237" s="5"/>
      <c r="C237" s="4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40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47"/>
      <c r="B238" s="5"/>
      <c r="C238" s="4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40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47"/>
      <c r="B239" s="5"/>
      <c r="C239" s="4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40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47"/>
      <c r="B240" s="5"/>
      <c r="C240" s="4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40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47"/>
      <c r="B241" s="5"/>
      <c r="C241" s="4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40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47"/>
      <c r="B242" s="5"/>
      <c r="C242" s="4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40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47"/>
      <c r="B243" s="5"/>
      <c r="C243" s="4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40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47"/>
      <c r="B244" s="5"/>
      <c r="C244" s="4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40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47"/>
      <c r="B245" s="5"/>
      <c r="C245" s="4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40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47"/>
      <c r="B246" s="5"/>
      <c r="C246" s="4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40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47"/>
      <c r="B247" s="5"/>
      <c r="C247" s="4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40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47"/>
      <c r="B248" s="5"/>
      <c r="C248" s="4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40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47"/>
      <c r="B249" s="5"/>
      <c r="C249" s="4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40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47"/>
      <c r="B250" s="5"/>
      <c r="C250" s="4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40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47"/>
      <c r="B251" s="5"/>
      <c r="C251" s="4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40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47"/>
      <c r="B252" s="5"/>
      <c r="C252" s="4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40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47"/>
      <c r="B253" s="5"/>
      <c r="C253" s="40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40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47"/>
      <c r="B254" s="5"/>
      <c r="C254" s="40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40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47"/>
      <c r="B255" s="5"/>
      <c r="C255" s="40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40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47"/>
      <c r="B256" s="5"/>
      <c r="C256" s="4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40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47"/>
      <c r="B257" s="5"/>
      <c r="C257" s="4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40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47"/>
      <c r="B258" s="5"/>
      <c r="C258" s="4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40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47"/>
      <c r="B259" s="5"/>
      <c r="C259" s="4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40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47"/>
      <c r="B260" s="5"/>
      <c r="C260" s="40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40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47"/>
      <c r="B261" s="5"/>
      <c r="C261" s="40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40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47"/>
      <c r="B262" s="5"/>
      <c r="C262" s="40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40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47"/>
      <c r="B263" s="5"/>
      <c r="C263" s="40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40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47"/>
      <c r="B264" s="5"/>
      <c r="C264" s="40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40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47"/>
      <c r="B265" s="5"/>
      <c r="C265" s="40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40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47"/>
      <c r="B266" s="5"/>
      <c r="C266" s="4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40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47"/>
      <c r="B267" s="5"/>
      <c r="C267" s="4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40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47"/>
      <c r="B268" s="5"/>
      <c r="C268" s="4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40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47"/>
      <c r="B269" s="5"/>
      <c r="C269" s="4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40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47"/>
      <c r="B270" s="5"/>
      <c r="C270" s="40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40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47"/>
      <c r="B271" s="5"/>
      <c r="C271" s="40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40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47"/>
      <c r="B272" s="5"/>
      <c r="C272" s="40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40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47"/>
      <c r="B273" s="5"/>
      <c r="C273" s="40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40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47"/>
      <c r="B274" s="5"/>
      <c r="C274" s="40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40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47"/>
      <c r="B275" s="5"/>
      <c r="C275" s="40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40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47"/>
      <c r="B276" s="5"/>
      <c r="C276" s="4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40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47"/>
      <c r="B277" s="5"/>
      <c r="C277" s="4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40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47"/>
      <c r="B278" s="5"/>
      <c r="C278" s="4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40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47"/>
      <c r="B279" s="5"/>
      <c r="C279" s="4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40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47"/>
      <c r="B280" s="5"/>
      <c r="C280" s="40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40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47"/>
      <c r="B281" s="5"/>
      <c r="C281" s="40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40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47"/>
      <c r="B282" s="5"/>
      <c r="C282" s="40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40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47"/>
      <c r="B283" s="5"/>
      <c r="C283" s="40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40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47"/>
      <c r="B284" s="5"/>
      <c r="C284" s="40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40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47"/>
      <c r="B285" s="5"/>
      <c r="C285" s="40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40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47"/>
      <c r="B286" s="5"/>
      <c r="C286" s="4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40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47"/>
      <c r="B287" s="5"/>
      <c r="C287" s="4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40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47"/>
      <c r="B288" s="5"/>
      <c r="C288" s="4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40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47"/>
      <c r="B289" s="5"/>
      <c r="C289" s="4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40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47"/>
      <c r="B290" s="5"/>
      <c r="C290" s="40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40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47"/>
      <c r="B291" s="5"/>
      <c r="C291" s="40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40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47"/>
      <c r="B292" s="5"/>
      <c r="C292" s="40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40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47"/>
      <c r="B293" s="5"/>
      <c r="C293" s="40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40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47"/>
      <c r="B294" s="5"/>
      <c r="C294" s="40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40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47"/>
      <c r="B295" s="5"/>
      <c r="C295" s="40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40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47"/>
      <c r="B296" s="5"/>
      <c r="C296" s="4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40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47"/>
      <c r="B297" s="5"/>
      <c r="C297" s="4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40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47"/>
      <c r="B298" s="5"/>
      <c r="C298" s="4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40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47"/>
      <c r="B299" s="5"/>
      <c r="C299" s="4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40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47"/>
      <c r="B300" s="5"/>
      <c r="C300" s="40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40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47"/>
      <c r="B301" s="5"/>
      <c r="C301" s="40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40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47"/>
      <c r="B302" s="5"/>
      <c r="C302" s="40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40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47"/>
      <c r="B303" s="5"/>
      <c r="C303" s="40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40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47"/>
      <c r="B304" s="5"/>
      <c r="C304" s="40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40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47"/>
      <c r="B305" s="5"/>
      <c r="C305" s="40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40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47"/>
      <c r="B306" s="5"/>
      <c r="C306" s="4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40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47"/>
      <c r="B307" s="5"/>
      <c r="C307" s="4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40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47"/>
      <c r="B308" s="5"/>
      <c r="C308" s="4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40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47"/>
      <c r="B309" s="5"/>
      <c r="C309" s="4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40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47"/>
      <c r="B310" s="5"/>
      <c r="C310" s="40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40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47"/>
      <c r="B311" s="5"/>
      <c r="C311" s="40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40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47"/>
      <c r="B312" s="5"/>
      <c r="C312" s="40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40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47"/>
      <c r="B313" s="5"/>
      <c r="C313" s="40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40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47"/>
      <c r="B314" s="5"/>
      <c r="C314" s="40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40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47"/>
      <c r="B315" s="5"/>
      <c r="C315" s="4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40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47"/>
      <c r="B316" s="5"/>
      <c r="C316" s="4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40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47"/>
      <c r="B317" s="5"/>
      <c r="C317" s="4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40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47"/>
      <c r="B318" s="5"/>
      <c r="C318" s="4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40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47"/>
      <c r="B319" s="5"/>
      <c r="C319" s="4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40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47"/>
      <c r="B320" s="5"/>
      <c r="C320" s="40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40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47"/>
      <c r="B321" s="5"/>
      <c r="C321" s="40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40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47"/>
      <c r="B322" s="5"/>
      <c r="C322" s="40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40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47"/>
      <c r="B323" s="5"/>
      <c r="C323" s="40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40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47"/>
      <c r="B324" s="5"/>
      <c r="C324" s="40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40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47"/>
      <c r="B325" s="5"/>
      <c r="C325" s="40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40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47"/>
      <c r="B326" s="5"/>
      <c r="C326" s="4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40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47"/>
      <c r="B327" s="5"/>
      <c r="C327" s="4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40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47"/>
      <c r="B328" s="5"/>
      <c r="C328" s="4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40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47"/>
      <c r="B329" s="5"/>
      <c r="C329" s="4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40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47"/>
      <c r="B330" s="5"/>
      <c r="C330" s="40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40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47"/>
      <c r="B331" s="5"/>
      <c r="C331" s="40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40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47"/>
      <c r="B332" s="5"/>
      <c r="C332" s="40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40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47"/>
      <c r="B333" s="5"/>
      <c r="C333" s="40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40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47"/>
      <c r="B334" s="5"/>
      <c r="C334" s="40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40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47"/>
      <c r="B335" s="5"/>
      <c r="C335" s="40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40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47"/>
      <c r="B336" s="5"/>
      <c r="C336" s="4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40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47"/>
      <c r="B337" s="5"/>
      <c r="C337" s="4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40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47"/>
      <c r="B338" s="5"/>
      <c r="C338" s="4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40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47"/>
      <c r="B339" s="5"/>
      <c r="C339" s="4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40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47"/>
      <c r="B340" s="5"/>
      <c r="C340" s="40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40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47"/>
      <c r="B341" s="5"/>
      <c r="C341" s="40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40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47"/>
      <c r="B342" s="5"/>
      <c r="C342" s="40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40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47"/>
      <c r="B343" s="5"/>
      <c r="C343" s="40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40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47"/>
      <c r="B344" s="5"/>
      <c r="C344" s="40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40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47"/>
      <c r="B345" s="5"/>
      <c r="C345" s="40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40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47"/>
      <c r="B346" s="5"/>
      <c r="C346" s="4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40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47"/>
      <c r="B347" s="5"/>
      <c r="C347" s="4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40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47"/>
      <c r="B348" s="5"/>
      <c r="C348" s="4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40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47"/>
      <c r="B349" s="5"/>
      <c r="C349" s="4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40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47"/>
      <c r="B350" s="5"/>
      <c r="C350" s="40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40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47"/>
      <c r="B351" s="5"/>
      <c r="C351" s="40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40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47"/>
      <c r="B352" s="5"/>
      <c r="C352" s="40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40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47"/>
      <c r="B353" s="5"/>
      <c r="C353" s="40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40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47"/>
      <c r="B354" s="5"/>
      <c r="C354" s="40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40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47"/>
      <c r="B355" s="5"/>
      <c r="C355" s="40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40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47"/>
      <c r="B356" s="5"/>
      <c r="C356" s="4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40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47"/>
      <c r="B357" s="5"/>
      <c r="C357" s="4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40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47"/>
      <c r="B358" s="5"/>
      <c r="C358" s="4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40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47"/>
      <c r="B359" s="5"/>
      <c r="C359" s="4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40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47"/>
      <c r="B360" s="5"/>
      <c r="C360" s="40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40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47"/>
      <c r="B361" s="5"/>
      <c r="C361" s="40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40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47"/>
      <c r="B362" s="5"/>
      <c r="C362" s="40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40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47"/>
      <c r="B363" s="5"/>
      <c r="C363" s="40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40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47"/>
      <c r="B364" s="5"/>
      <c r="C364" s="40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40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47"/>
      <c r="B365" s="5"/>
      <c r="C365" s="40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40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47"/>
      <c r="B366" s="5"/>
      <c r="C366" s="4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40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47"/>
      <c r="B367" s="5"/>
      <c r="C367" s="4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40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47"/>
      <c r="B368" s="5"/>
      <c r="C368" s="4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40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47"/>
      <c r="B369" s="5"/>
      <c r="C369" s="4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40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47"/>
      <c r="B370" s="5"/>
      <c r="C370" s="40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40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47"/>
      <c r="B371" s="5"/>
      <c r="C371" s="40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40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47"/>
      <c r="B372" s="5"/>
      <c r="C372" s="40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40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47"/>
      <c r="B373" s="5"/>
      <c r="C373" s="40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40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47"/>
      <c r="B374" s="5"/>
      <c r="C374" s="40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40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47"/>
      <c r="B375" s="5"/>
      <c r="C375" s="40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40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47"/>
      <c r="B376" s="5"/>
      <c r="C376" s="4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40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47"/>
      <c r="B377" s="5"/>
      <c r="C377" s="4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40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47"/>
      <c r="B378" s="5"/>
      <c r="C378" s="4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40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47"/>
      <c r="B379" s="5"/>
      <c r="C379" s="4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40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47"/>
      <c r="B380" s="5"/>
      <c r="C380" s="40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40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47"/>
      <c r="B381" s="5"/>
      <c r="C381" s="40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40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47"/>
      <c r="B382" s="5"/>
      <c r="C382" s="40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40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47"/>
      <c r="B383" s="5"/>
      <c r="C383" s="40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40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47"/>
      <c r="B384" s="5"/>
      <c r="C384" s="40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40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47"/>
      <c r="B385" s="5"/>
      <c r="C385" s="40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40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47"/>
      <c r="B386" s="5"/>
      <c r="C386" s="4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40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47"/>
      <c r="B387" s="5"/>
      <c r="C387" s="4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40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47"/>
      <c r="B388" s="5"/>
      <c r="C388" s="4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40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47"/>
      <c r="B389" s="5"/>
      <c r="C389" s="4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40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47"/>
      <c r="B390" s="5"/>
      <c r="C390" s="40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40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47"/>
      <c r="B391" s="5"/>
      <c r="C391" s="40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40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47"/>
      <c r="B392" s="5"/>
      <c r="C392" s="40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40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47"/>
      <c r="B393" s="5"/>
      <c r="C393" s="40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40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47"/>
      <c r="B394" s="5"/>
      <c r="C394" s="40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40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47"/>
      <c r="B395" s="5"/>
      <c r="C395" s="40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40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47"/>
      <c r="B396" s="5"/>
      <c r="C396" s="4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40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47"/>
      <c r="B397" s="5"/>
      <c r="C397" s="4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40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47"/>
      <c r="B398" s="5"/>
      <c r="C398" s="40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40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47"/>
      <c r="B399" s="5"/>
      <c r="C399" s="40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40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47"/>
      <c r="B400" s="5"/>
      <c r="C400" s="40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40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47"/>
      <c r="B401" s="5"/>
      <c r="C401" s="40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40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47"/>
      <c r="B402" s="5"/>
      <c r="C402" s="40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40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47"/>
      <c r="B403" s="5"/>
      <c r="C403" s="40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40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47"/>
      <c r="B404" s="5"/>
      <c r="C404" s="40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40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47"/>
      <c r="B405" s="5"/>
      <c r="C405" s="40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40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47"/>
      <c r="B406" s="5"/>
      <c r="C406" s="4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40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47"/>
      <c r="B407" s="5"/>
      <c r="C407" s="4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40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47"/>
      <c r="B408" s="5"/>
      <c r="C408" s="40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40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47"/>
      <c r="B409" s="5"/>
      <c r="C409" s="40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40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47"/>
      <c r="B410" s="5"/>
      <c r="C410" s="40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40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47"/>
      <c r="B411" s="5"/>
      <c r="C411" s="40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40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47"/>
      <c r="B412" s="5"/>
      <c r="C412" s="40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40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47"/>
      <c r="B413" s="5"/>
      <c r="C413" s="40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40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47"/>
      <c r="B414" s="5"/>
      <c r="C414" s="40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40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47"/>
      <c r="B415" s="5"/>
      <c r="C415" s="40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40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47"/>
      <c r="B416" s="5"/>
      <c r="C416" s="4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40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47"/>
      <c r="B417" s="5"/>
      <c r="C417" s="4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40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47"/>
      <c r="B418" s="5"/>
      <c r="C418" s="40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40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47"/>
      <c r="B419" s="5"/>
      <c r="C419" s="40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40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47"/>
      <c r="B420" s="5"/>
      <c r="C420" s="40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40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47"/>
      <c r="B421" s="5"/>
      <c r="C421" s="40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40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47"/>
      <c r="B422" s="5"/>
      <c r="C422" s="40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40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47"/>
      <c r="B423" s="5"/>
      <c r="C423" s="40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40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47"/>
      <c r="B424" s="5"/>
      <c r="C424" s="40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40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47"/>
      <c r="B425" s="5"/>
      <c r="C425" s="40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40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47"/>
      <c r="B426" s="5"/>
      <c r="C426" s="4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40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47"/>
      <c r="B427" s="5"/>
      <c r="C427" s="4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40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47"/>
      <c r="B428" s="5"/>
      <c r="C428" s="40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40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47"/>
      <c r="B429" s="5"/>
      <c r="C429" s="40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40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47"/>
      <c r="B430" s="5"/>
      <c r="C430" s="40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40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47"/>
      <c r="B431" s="5"/>
      <c r="C431" s="40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40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47"/>
      <c r="B432" s="5"/>
      <c r="C432" s="40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40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47"/>
      <c r="B433" s="5"/>
      <c r="C433" s="40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40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47"/>
      <c r="B434" s="5"/>
      <c r="C434" s="40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40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47"/>
      <c r="B435" s="5"/>
      <c r="C435" s="40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40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47"/>
      <c r="B436" s="5"/>
      <c r="C436" s="4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40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47"/>
      <c r="B437" s="5"/>
      <c r="C437" s="4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40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47"/>
      <c r="B438" s="5"/>
      <c r="C438" s="40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40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47"/>
      <c r="B439" s="5"/>
      <c r="C439" s="40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40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47"/>
      <c r="B440" s="5"/>
      <c r="C440" s="40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40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47"/>
      <c r="B441" s="5"/>
      <c r="C441" s="40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40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47"/>
      <c r="B442" s="5"/>
      <c r="C442" s="40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40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47"/>
      <c r="B443" s="5"/>
      <c r="C443" s="40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40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47"/>
      <c r="B444" s="5"/>
      <c r="C444" s="40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40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47"/>
      <c r="B445" s="5"/>
      <c r="C445" s="40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40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47"/>
      <c r="B446" s="5"/>
      <c r="C446" s="4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40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47"/>
      <c r="B447" s="5"/>
      <c r="C447" s="4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40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47"/>
      <c r="B448" s="5"/>
      <c r="C448" s="40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40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47"/>
      <c r="B449" s="5"/>
      <c r="C449" s="40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40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47"/>
      <c r="B450" s="5"/>
      <c r="C450" s="40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40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47"/>
      <c r="B451" s="5"/>
      <c r="C451" s="40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40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47"/>
      <c r="B452" s="5"/>
      <c r="C452" s="40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40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47"/>
      <c r="B453" s="5"/>
      <c r="C453" s="40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40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47"/>
      <c r="B454" s="5"/>
      <c r="C454" s="40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40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47"/>
      <c r="B455" s="5"/>
      <c r="C455" s="40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40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47"/>
      <c r="B456" s="5"/>
      <c r="C456" s="4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40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47"/>
      <c r="B457" s="5"/>
      <c r="C457" s="4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40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47"/>
      <c r="B458" s="5"/>
      <c r="C458" s="40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40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47"/>
      <c r="B459" s="5"/>
      <c r="C459" s="40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40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47"/>
      <c r="B460" s="5"/>
      <c r="C460" s="40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40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47"/>
      <c r="B461" s="5"/>
      <c r="C461" s="40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40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47"/>
      <c r="B462" s="5"/>
      <c r="C462" s="40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40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47"/>
      <c r="B463" s="5"/>
      <c r="C463" s="40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40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47"/>
      <c r="B464" s="5"/>
      <c r="C464" s="40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40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47"/>
      <c r="B465" s="5"/>
      <c r="C465" s="40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40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47"/>
      <c r="B466" s="5"/>
      <c r="C466" s="40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40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47"/>
      <c r="B467" s="5"/>
      <c r="C467" s="40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40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47"/>
      <c r="B468" s="5"/>
      <c r="C468" s="40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40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47"/>
      <c r="B469" s="5"/>
      <c r="C469" s="40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40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47"/>
      <c r="B470" s="5"/>
      <c r="C470" s="40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40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47"/>
      <c r="B471" s="5"/>
      <c r="C471" s="40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40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47"/>
      <c r="B472" s="5"/>
      <c r="C472" s="40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40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47"/>
      <c r="B473" s="5"/>
      <c r="C473" s="40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40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47"/>
      <c r="B474" s="5"/>
      <c r="C474" s="40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40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47"/>
      <c r="B475" s="5"/>
      <c r="C475" s="40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40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47"/>
      <c r="B476" s="5"/>
      <c r="C476" s="40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40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47"/>
      <c r="B477" s="5"/>
      <c r="C477" s="40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40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47"/>
      <c r="B478" s="5"/>
      <c r="C478" s="40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40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47"/>
      <c r="B479" s="5"/>
      <c r="C479" s="40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40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47"/>
      <c r="B480" s="5"/>
      <c r="C480" s="40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40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47"/>
      <c r="B481" s="5"/>
      <c r="C481" s="40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40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47"/>
      <c r="B482" s="5"/>
      <c r="C482" s="40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40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47"/>
      <c r="B483" s="5"/>
      <c r="C483" s="40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40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47"/>
      <c r="B484" s="5"/>
      <c r="C484" s="40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40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47"/>
      <c r="B485" s="5"/>
      <c r="C485" s="40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40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47"/>
      <c r="B486" s="5"/>
      <c r="C486" s="40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40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47"/>
      <c r="B487" s="5"/>
      <c r="C487" s="40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40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47"/>
      <c r="B488" s="5"/>
      <c r="C488" s="40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40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47"/>
      <c r="B489" s="5"/>
      <c r="C489" s="40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40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47"/>
      <c r="B490" s="5"/>
      <c r="C490" s="40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40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47"/>
      <c r="B491" s="5"/>
      <c r="C491" s="40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40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47"/>
      <c r="B492" s="5"/>
      <c r="C492" s="40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40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47"/>
      <c r="B493" s="5"/>
      <c r="C493" s="40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40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47"/>
      <c r="B494" s="5"/>
      <c r="C494" s="40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40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47"/>
      <c r="B495" s="5"/>
      <c r="C495" s="40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40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47"/>
      <c r="B496" s="5"/>
      <c r="C496" s="40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40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47"/>
      <c r="B497" s="5"/>
      <c r="C497" s="40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40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47"/>
      <c r="B498" s="5"/>
      <c r="C498" s="40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40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47"/>
      <c r="B499" s="5"/>
      <c r="C499" s="40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40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47"/>
      <c r="B500" s="5"/>
      <c r="C500" s="40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40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47"/>
      <c r="B501" s="5"/>
      <c r="C501" s="40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40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47"/>
      <c r="B502" s="5"/>
      <c r="C502" s="40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40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47"/>
      <c r="B503" s="5"/>
      <c r="C503" s="40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40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47"/>
      <c r="B504" s="5"/>
      <c r="C504" s="40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40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47"/>
      <c r="B505" s="5"/>
      <c r="C505" s="40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40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47"/>
      <c r="B506" s="5"/>
      <c r="C506" s="40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40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47"/>
      <c r="B507" s="5"/>
      <c r="C507" s="40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40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47"/>
      <c r="B508" s="5"/>
      <c r="C508" s="40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40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47"/>
      <c r="B509" s="5"/>
      <c r="C509" s="40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40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47"/>
      <c r="B510" s="5"/>
      <c r="C510" s="40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40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47"/>
      <c r="B511" s="5"/>
      <c r="C511" s="40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40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47"/>
      <c r="B512" s="5"/>
      <c r="C512" s="40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40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47"/>
      <c r="B513" s="5"/>
      <c r="C513" s="40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40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47"/>
      <c r="B514" s="5"/>
      <c r="C514" s="40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40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47"/>
      <c r="B515" s="5"/>
      <c r="C515" s="40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40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47"/>
      <c r="B516" s="5"/>
      <c r="C516" s="40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40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47"/>
      <c r="B517" s="5"/>
      <c r="C517" s="40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40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47"/>
      <c r="B518" s="5"/>
      <c r="C518" s="40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40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47"/>
      <c r="B519" s="5"/>
      <c r="C519" s="40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40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47"/>
      <c r="B520" s="5"/>
      <c r="C520" s="40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40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47"/>
      <c r="B521" s="5"/>
      <c r="C521" s="40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40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47"/>
      <c r="B522" s="5"/>
      <c r="C522" s="40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40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47"/>
      <c r="B523" s="5"/>
      <c r="C523" s="40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40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47"/>
      <c r="B524" s="5"/>
      <c r="C524" s="40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40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47"/>
      <c r="B525" s="5"/>
      <c r="C525" s="40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40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47"/>
      <c r="B526" s="5"/>
      <c r="C526" s="40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40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47"/>
      <c r="B527" s="5"/>
      <c r="C527" s="40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40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47"/>
      <c r="B528" s="5"/>
      <c r="C528" s="40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40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47"/>
      <c r="B529" s="5"/>
      <c r="C529" s="40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40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47"/>
      <c r="B530" s="5"/>
      <c r="C530" s="40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40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47"/>
      <c r="B531" s="5"/>
      <c r="C531" s="40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40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47"/>
      <c r="B532" s="5"/>
      <c r="C532" s="40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40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47"/>
      <c r="B533" s="5"/>
      <c r="C533" s="40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40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47"/>
      <c r="B534" s="5"/>
      <c r="C534" s="40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40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47"/>
      <c r="B535" s="5"/>
      <c r="C535" s="40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40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47"/>
      <c r="B536" s="5"/>
      <c r="C536" s="40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40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47"/>
      <c r="B537" s="5"/>
      <c r="C537" s="40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40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47"/>
      <c r="B538" s="5"/>
      <c r="C538" s="40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40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47"/>
      <c r="B539" s="5"/>
      <c r="C539" s="40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40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47"/>
      <c r="B540" s="5"/>
      <c r="C540" s="40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40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47"/>
      <c r="B541" s="5"/>
      <c r="C541" s="40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40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47"/>
      <c r="B542" s="5"/>
      <c r="C542" s="40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40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47"/>
      <c r="B543" s="5"/>
      <c r="C543" s="40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40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47"/>
      <c r="B544" s="5"/>
      <c r="C544" s="40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40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47"/>
      <c r="B545" s="5"/>
      <c r="C545" s="40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40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47"/>
      <c r="B546" s="5"/>
      <c r="C546" s="40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40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47"/>
      <c r="B547" s="5"/>
      <c r="C547" s="40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40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47"/>
      <c r="B548" s="5"/>
      <c r="C548" s="40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40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47"/>
      <c r="B549" s="5"/>
      <c r="C549" s="40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40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47"/>
      <c r="B550" s="5"/>
      <c r="C550" s="40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40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47"/>
      <c r="B551" s="5"/>
      <c r="C551" s="40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40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47"/>
      <c r="B552" s="5"/>
      <c r="C552" s="40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40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47"/>
      <c r="B553" s="5"/>
      <c r="C553" s="40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40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47"/>
      <c r="B554" s="5"/>
      <c r="C554" s="40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40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47"/>
      <c r="B555" s="5"/>
      <c r="C555" s="40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40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47"/>
      <c r="B556" s="5"/>
      <c r="C556" s="40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40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47"/>
      <c r="B557" s="5"/>
      <c r="C557" s="40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40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47"/>
      <c r="B558" s="5"/>
      <c r="C558" s="40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40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47"/>
      <c r="B559" s="5"/>
      <c r="C559" s="40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40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47"/>
      <c r="B560" s="5"/>
      <c r="C560" s="40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40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47"/>
      <c r="B561" s="5"/>
      <c r="C561" s="40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40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47"/>
      <c r="B562" s="5"/>
      <c r="C562" s="40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40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47"/>
      <c r="B563" s="5"/>
      <c r="C563" s="40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40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47"/>
      <c r="B564" s="5"/>
      <c r="C564" s="40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40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47"/>
      <c r="B565" s="5"/>
      <c r="C565" s="40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40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47"/>
      <c r="B566" s="5"/>
      <c r="C566" s="40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40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47"/>
      <c r="B567" s="5"/>
      <c r="C567" s="40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40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47"/>
      <c r="B568" s="5"/>
      <c r="C568" s="40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40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47"/>
      <c r="B569" s="5"/>
      <c r="C569" s="40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40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47"/>
      <c r="B570" s="5"/>
      <c r="C570" s="40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40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47"/>
      <c r="B571" s="5"/>
      <c r="C571" s="40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40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47"/>
      <c r="B572" s="5"/>
      <c r="C572" s="40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40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47"/>
      <c r="B573" s="5"/>
      <c r="C573" s="40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40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47"/>
      <c r="B574" s="5"/>
      <c r="C574" s="40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40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47"/>
      <c r="B575" s="5"/>
      <c r="C575" s="40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40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47"/>
      <c r="B576" s="5"/>
      <c r="C576" s="40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40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47"/>
      <c r="B577" s="5"/>
      <c r="C577" s="40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40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47"/>
      <c r="B578" s="5"/>
      <c r="C578" s="40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40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47"/>
      <c r="B579" s="5"/>
      <c r="C579" s="40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40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47"/>
      <c r="B580" s="5"/>
      <c r="C580" s="40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40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47"/>
      <c r="B581" s="5"/>
      <c r="C581" s="40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40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47"/>
      <c r="B582" s="5"/>
      <c r="C582" s="40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40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47"/>
      <c r="B583" s="5"/>
      <c r="C583" s="40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40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47"/>
      <c r="B584" s="5"/>
      <c r="C584" s="40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40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47"/>
      <c r="B585" s="5"/>
      <c r="C585" s="40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40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47"/>
      <c r="B586" s="5"/>
      <c r="C586" s="40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40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47"/>
      <c r="B587" s="5"/>
      <c r="C587" s="40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40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47"/>
      <c r="B588" s="5"/>
      <c r="C588" s="40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40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47"/>
      <c r="B589" s="5"/>
      <c r="C589" s="40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40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47"/>
      <c r="B590" s="5"/>
      <c r="C590" s="40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40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47"/>
      <c r="B591" s="5"/>
      <c r="C591" s="40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40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47"/>
      <c r="B592" s="5"/>
      <c r="C592" s="40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40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47"/>
      <c r="B593" s="5"/>
      <c r="C593" s="40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40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47"/>
      <c r="B594" s="5"/>
      <c r="C594" s="40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40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47"/>
      <c r="B595" s="5"/>
      <c r="C595" s="40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40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47"/>
      <c r="B596" s="5"/>
      <c r="C596" s="40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40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47"/>
      <c r="B597" s="5"/>
      <c r="C597" s="40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40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47"/>
      <c r="B598" s="5"/>
      <c r="C598" s="40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40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47"/>
      <c r="B599" s="5"/>
      <c r="C599" s="40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40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47"/>
      <c r="B600" s="5"/>
      <c r="C600" s="40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40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47"/>
      <c r="B601" s="5"/>
      <c r="C601" s="40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40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47"/>
      <c r="B602" s="5"/>
      <c r="C602" s="40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40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47"/>
      <c r="B603" s="5"/>
      <c r="C603" s="40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40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47"/>
      <c r="B604" s="5"/>
      <c r="C604" s="40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40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47"/>
      <c r="B605" s="5"/>
      <c r="C605" s="40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40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47"/>
      <c r="B606" s="5"/>
      <c r="C606" s="40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40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47"/>
      <c r="B607" s="5"/>
      <c r="C607" s="40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40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47"/>
      <c r="B608" s="5"/>
      <c r="C608" s="40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40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47"/>
      <c r="B609" s="5"/>
      <c r="C609" s="40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40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47"/>
      <c r="B610" s="5"/>
      <c r="C610" s="40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40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47"/>
      <c r="B611" s="5"/>
      <c r="C611" s="40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40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47"/>
      <c r="B612" s="5"/>
      <c r="C612" s="40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40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47"/>
      <c r="B613" s="5"/>
      <c r="C613" s="40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40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47"/>
      <c r="B614" s="5"/>
      <c r="C614" s="40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40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47"/>
      <c r="B615" s="5"/>
      <c r="C615" s="40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40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47"/>
      <c r="B616" s="5"/>
      <c r="C616" s="40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40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47"/>
      <c r="B617" s="5"/>
      <c r="C617" s="40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40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47"/>
      <c r="B618" s="5"/>
      <c r="C618" s="40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40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47"/>
      <c r="B619" s="5"/>
      <c r="C619" s="40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40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47"/>
      <c r="B620" s="5"/>
      <c r="C620" s="40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40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47"/>
      <c r="B621" s="5"/>
      <c r="C621" s="40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40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47"/>
      <c r="B622" s="5"/>
      <c r="C622" s="40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40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47"/>
      <c r="B623" s="5"/>
      <c r="C623" s="40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40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47"/>
      <c r="B624" s="5"/>
      <c r="C624" s="40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40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47"/>
      <c r="B625" s="5"/>
      <c r="C625" s="40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40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47"/>
      <c r="B626" s="5"/>
      <c r="C626" s="40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40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47"/>
      <c r="B627" s="5"/>
      <c r="C627" s="40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40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47"/>
      <c r="B628" s="5"/>
      <c r="C628" s="40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40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47"/>
      <c r="B629" s="5"/>
      <c r="C629" s="40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40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47"/>
      <c r="B630" s="5"/>
      <c r="C630" s="40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40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47"/>
      <c r="B631" s="5"/>
      <c r="C631" s="40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40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47"/>
      <c r="B632" s="5"/>
      <c r="C632" s="40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40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47"/>
      <c r="B633" s="5"/>
      <c r="C633" s="40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40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47"/>
      <c r="B634" s="5"/>
      <c r="C634" s="40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40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47"/>
      <c r="B635" s="5"/>
      <c r="C635" s="40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40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47"/>
      <c r="B636" s="5"/>
      <c r="C636" s="40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40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47"/>
      <c r="B637" s="5"/>
      <c r="C637" s="40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40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47"/>
      <c r="B638" s="5"/>
      <c r="C638" s="40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40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47"/>
      <c r="B639" s="5"/>
      <c r="C639" s="40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40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47"/>
      <c r="B640" s="5"/>
      <c r="C640" s="40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40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47"/>
      <c r="B641" s="5"/>
      <c r="C641" s="40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40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47"/>
      <c r="B642" s="5"/>
      <c r="C642" s="40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40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47"/>
      <c r="B643" s="5"/>
      <c r="C643" s="40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40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47"/>
      <c r="B644" s="5"/>
      <c r="C644" s="40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40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47"/>
      <c r="B645" s="5"/>
      <c r="C645" s="40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40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47"/>
      <c r="B646" s="5"/>
      <c r="C646" s="40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40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47"/>
      <c r="B647" s="5"/>
      <c r="C647" s="40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40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47"/>
      <c r="B648" s="5"/>
      <c r="C648" s="40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40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47"/>
      <c r="B649" s="5"/>
      <c r="C649" s="40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40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47"/>
      <c r="B650" s="5"/>
      <c r="C650" s="40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40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47"/>
      <c r="B651" s="5"/>
      <c r="C651" s="40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40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47"/>
      <c r="B652" s="5"/>
      <c r="C652" s="40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40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47"/>
      <c r="B653" s="5"/>
      <c r="C653" s="40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40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47"/>
      <c r="B654" s="5"/>
      <c r="C654" s="40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40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47"/>
      <c r="B655" s="5"/>
      <c r="C655" s="40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40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47"/>
      <c r="B656" s="5"/>
      <c r="C656" s="40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40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47"/>
      <c r="B657" s="5"/>
      <c r="C657" s="40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40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47"/>
      <c r="B658" s="5"/>
      <c r="C658" s="40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40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47"/>
      <c r="B659" s="5"/>
      <c r="C659" s="40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40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47"/>
      <c r="B660" s="5"/>
      <c r="C660" s="40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40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47"/>
      <c r="B661" s="5"/>
      <c r="C661" s="40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40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47"/>
      <c r="B662" s="5"/>
      <c r="C662" s="40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40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47"/>
      <c r="B663" s="5"/>
      <c r="C663" s="40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40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47"/>
      <c r="B664" s="5"/>
      <c r="C664" s="40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40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47"/>
      <c r="B665" s="5"/>
      <c r="C665" s="40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40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47"/>
      <c r="B666" s="5"/>
      <c r="C666" s="40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40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47"/>
      <c r="B667" s="5"/>
      <c r="C667" s="40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40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47"/>
      <c r="B668" s="5"/>
      <c r="C668" s="40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40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47"/>
      <c r="B669" s="5"/>
      <c r="C669" s="40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40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47"/>
      <c r="B670" s="5"/>
      <c r="C670" s="40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40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47"/>
      <c r="B671" s="5"/>
      <c r="C671" s="40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40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47"/>
      <c r="B672" s="5"/>
      <c r="C672" s="40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40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47"/>
      <c r="B673" s="5"/>
      <c r="C673" s="40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40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47"/>
      <c r="B674" s="5"/>
      <c r="C674" s="40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40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47"/>
      <c r="B675" s="5"/>
      <c r="C675" s="40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40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47"/>
      <c r="B676" s="5"/>
      <c r="C676" s="40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40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47"/>
      <c r="B677" s="5"/>
      <c r="C677" s="40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40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47"/>
      <c r="B678" s="5"/>
      <c r="C678" s="40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40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47"/>
      <c r="B679" s="5"/>
      <c r="C679" s="40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40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47"/>
      <c r="B680" s="5"/>
      <c r="C680" s="40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40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47"/>
      <c r="B681" s="5"/>
      <c r="C681" s="40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40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47"/>
      <c r="B682" s="5"/>
      <c r="C682" s="40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40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47"/>
      <c r="B683" s="5"/>
      <c r="C683" s="40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40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47"/>
      <c r="B684" s="5"/>
      <c r="C684" s="40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40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47"/>
      <c r="B685" s="5"/>
      <c r="C685" s="40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40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47"/>
      <c r="B686" s="5"/>
      <c r="C686" s="40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40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47"/>
      <c r="B687" s="5"/>
      <c r="C687" s="40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40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47"/>
      <c r="B688" s="5"/>
      <c r="C688" s="40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40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47"/>
      <c r="B689" s="5"/>
      <c r="C689" s="40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40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47"/>
      <c r="B690" s="5"/>
      <c r="C690" s="40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40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47"/>
      <c r="B691" s="5"/>
      <c r="C691" s="40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40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47"/>
      <c r="B692" s="5"/>
      <c r="C692" s="40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40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47"/>
      <c r="B693" s="5"/>
      <c r="C693" s="40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40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47"/>
      <c r="B694" s="5"/>
      <c r="C694" s="40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40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47"/>
      <c r="B695" s="5"/>
      <c r="C695" s="40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40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47"/>
      <c r="B696" s="5"/>
      <c r="C696" s="40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40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47"/>
      <c r="B697" s="5"/>
      <c r="C697" s="40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40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47"/>
      <c r="B698" s="5"/>
      <c r="C698" s="40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40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47"/>
      <c r="B699" s="5"/>
      <c r="C699" s="40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40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47"/>
      <c r="B700" s="5"/>
      <c r="C700" s="40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40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47"/>
      <c r="B701" s="5"/>
      <c r="C701" s="40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40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47"/>
      <c r="B702" s="5"/>
      <c r="C702" s="40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40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47"/>
      <c r="B703" s="5"/>
      <c r="C703" s="40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40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47"/>
      <c r="B704" s="5"/>
      <c r="C704" s="40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40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47"/>
      <c r="B705" s="5"/>
      <c r="C705" s="40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40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47"/>
      <c r="B706" s="5"/>
      <c r="C706" s="40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40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47"/>
      <c r="B707" s="5"/>
      <c r="C707" s="40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40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47"/>
      <c r="B708" s="5"/>
      <c r="C708" s="40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40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47"/>
      <c r="B709" s="5"/>
      <c r="C709" s="40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40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47"/>
      <c r="B710" s="5"/>
      <c r="C710" s="40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40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47"/>
      <c r="B711" s="5"/>
      <c r="C711" s="40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40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47"/>
      <c r="B712" s="5"/>
      <c r="C712" s="40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40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47"/>
      <c r="B713" s="5"/>
      <c r="C713" s="40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40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47"/>
      <c r="B714" s="5"/>
      <c r="C714" s="40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40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47"/>
      <c r="B715" s="5"/>
      <c r="C715" s="40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40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47"/>
      <c r="B716" s="5"/>
      <c r="C716" s="40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40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47"/>
      <c r="B717" s="5"/>
      <c r="C717" s="40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40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47"/>
      <c r="B718" s="5"/>
      <c r="C718" s="40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40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47"/>
      <c r="B719" s="5"/>
      <c r="C719" s="40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40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47"/>
      <c r="B720" s="5"/>
      <c r="C720" s="40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40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47"/>
      <c r="B721" s="5"/>
      <c r="C721" s="40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40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47"/>
      <c r="B722" s="5"/>
      <c r="C722" s="40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40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47"/>
      <c r="B723" s="5"/>
      <c r="C723" s="40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40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47"/>
      <c r="B724" s="5"/>
      <c r="C724" s="40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40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47"/>
      <c r="B725" s="5"/>
      <c r="C725" s="40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40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47"/>
      <c r="B726" s="5"/>
      <c r="C726" s="40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40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47"/>
      <c r="B727" s="5"/>
      <c r="C727" s="40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40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47"/>
      <c r="B728" s="5"/>
      <c r="C728" s="40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40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47"/>
      <c r="B729" s="5"/>
      <c r="C729" s="40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40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47"/>
      <c r="B730" s="5"/>
      <c r="C730" s="40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40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47"/>
      <c r="B731" s="5"/>
      <c r="C731" s="40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40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47"/>
      <c r="B732" s="5"/>
      <c r="C732" s="40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40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47"/>
      <c r="B733" s="5"/>
      <c r="C733" s="40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40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47"/>
      <c r="B734" s="5"/>
      <c r="C734" s="40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40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47"/>
      <c r="B735" s="5"/>
      <c r="C735" s="40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40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47"/>
      <c r="B736" s="5"/>
      <c r="C736" s="40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40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47"/>
      <c r="B737" s="5"/>
      <c r="C737" s="40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40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47"/>
      <c r="B738" s="5"/>
      <c r="C738" s="40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40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47"/>
      <c r="B739" s="5"/>
      <c r="C739" s="40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40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47"/>
      <c r="B740" s="5"/>
      <c r="C740" s="40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40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47"/>
      <c r="B741" s="5"/>
      <c r="C741" s="40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40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47"/>
      <c r="B742" s="5"/>
      <c r="C742" s="40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40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47"/>
      <c r="B743" s="5"/>
      <c r="C743" s="40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40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47"/>
      <c r="B744" s="5"/>
      <c r="C744" s="40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40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47"/>
      <c r="B745" s="5"/>
      <c r="C745" s="40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40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47"/>
      <c r="B746" s="5"/>
      <c r="C746" s="40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40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47"/>
      <c r="B747" s="5"/>
      <c r="C747" s="40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40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47"/>
      <c r="B748" s="5"/>
      <c r="C748" s="40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40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47"/>
      <c r="B749" s="5"/>
      <c r="C749" s="40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40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47"/>
      <c r="B750" s="5"/>
      <c r="C750" s="40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40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47"/>
      <c r="B751" s="5"/>
      <c r="C751" s="40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40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47"/>
      <c r="B752" s="5"/>
      <c r="C752" s="40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40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47"/>
      <c r="B753" s="5"/>
      <c r="C753" s="40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40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47"/>
      <c r="B754" s="5"/>
      <c r="C754" s="40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40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47"/>
      <c r="B755" s="5"/>
      <c r="C755" s="40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40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47"/>
      <c r="B756" s="5"/>
      <c r="C756" s="40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40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47"/>
      <c r="B757" s="5"/>
      <c r="C757" s="40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40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47"/>
      <c r="B758" s="5"/>
      <c r="C758" s="40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40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47"/>
      <c r="B759" s="5"/>
      <c r="C759" s="40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40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47"/>
      <c r="B760" s="5"/>
      <c r="C760" s="40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40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47"/>
      <c r="B761" s="5"/>
      <c r="C761" s="40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40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47"/>
      <c r="B762" s="5"/>
      <c r="C762" s="40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40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47"/>
      <c r="B763" s="5"/>
      <c r="C763" s="40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40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47"/>
      <c r="B764" s="5"/>
      <c r="C764" s="40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40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47"/>
      <c r="B765" s="5"/>
      <c r="C765" s="40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40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47"/>
      <c r="B766" s="5"/>
      <c r="C766" s="40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40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47"/>
      <c r="B767" s="5"/>
      <c r="C767" s="40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40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47"/>
      <c r="B768" s="5"/>
      <c r="C768" s="40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40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47"/>
      <c r="B769" s="5"/>
      <c r="C769" s="40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40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47"/>
      <c r="B770" s="5"/>
      <c r="C770" s="40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40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47"/>
      <c r="B771" s="5"/>
      <c r="C771" s="40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40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47"/>
      <c r="B772" s="5"/>
      <c r="C772" s="40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40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47"/>
      <c r="B773" s="5"/>
      <c r="C773" s="40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40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47"/>
      <c r="B774" s="5"/>
      <c r="C774" s="40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40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47"/>
      <c r="B775" s="5"/>
      <c r="C775" s="40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40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47"/>
      <c r="B776" s="5"/>
      <c r="C776" s="40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40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47"/>
      <c r="B777" s="5"/>
      <c r="C777" s="40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40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47"/>
      <c r="B778" s="5"/>
      <c r="C778" s="40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40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47"/>
      <c r="B779" s="5"/>
      <c r="C779" s="40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40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47"/>
      <c r="B780" s="5"/>
      <c r="C780" s="40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40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47"/>
      <c r="B781" s="5"/>
      <c r="C781" s="40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40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47"/>
      <c r="B782" s="5"/>
      <c r="C782" s="40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40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47"/>
      <c r="B783" s="5"/>
      <c r="C783" s="40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40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47"/>
      <c r="B784" s="5"/>
      <c r="C784" s="40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40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47"/>
      <c r="B785" s="5"/>
      <c r="C785" s="40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40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47"/>
      <c r="B786" s="5"/>
      <c r="C786" s="40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40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47"/>
      <c r="B787" s="5"/>
      <c r="C787" s="40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40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47"/>
      <c r="B788" s="5"/>
      <c r="C788" s="40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40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47"/>
      <c r="B789" s="5"/>
      <c r="C789" s="40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40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47"/>
      <c r="B790" s="5"/>
      <c r="C790" s="40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40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47"/>
      <c r="B791" s="5"/>
      <c r="C791" s="40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40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47"/>
      <c r="B792" s="5"/>
      <c r="C792" s="40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40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47"/>
      <c r="B793" s="5"/>
      <c r="C793" s="40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40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47"/>
      <c r="B794" s="5"/>
      <c r="C794" s="40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40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47"/>
      <c r="B795" s="5"/>
      <c r="C795" s="40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40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47"/>
      <c r="B796" s="5"/>
      <c r="C796" s="40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40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47"/>
      <c r="B797" s="5"/>
      <c r="C797" s="40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40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47"/>
      <c r="B798" s="5"/>
      <c r="C798" s="40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40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47"/>
      <c r="B799" s="5"/>
      <c r="C799" s="40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40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47"/>
      <c r="B800" s="5"/>
      <c r="C800" s="40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40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47"/>
      <c r="B801" s="5"/>
      <c r="C801" s="40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40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47"/>
      <c r="B802" s="5"/>
      <c r="C802" s="40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40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47"/>
      <c r="B803" s="5"/>
      <c r="C803" s="40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40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47"/>
      <c r="B804" s="5"/>
      <c r="C804" s="40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40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47"/>
      <c r="B805" s="5"/>
      <c r="C805" s="40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40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47"/>
      <c r="B806" s="5"/>
      <c r="C806" s="40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40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47"/>
      <c r="B807" s="5"/>
      <c r="C807" s="40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40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47"/>
      <c r="B808" s="5"/>
      <c r="C808" s="40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40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47"/>
      <c r="B809" s="5"/>
      <c r="C809" s="40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40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47"/>
      <c r="B810" s="5"/>
      <c r="C810" s="40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40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47"/>
      <c r="B811" s="5"/>
      <c r="C811" s="40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40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47"/>
      <c r="B812" s="5"/>
      <c r="C812" s="40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40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47"/>
      <c r="B813" s="5"/>
      <c r="C813" s="40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40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47"/>
      <c r="B814" s="5"/>
      <c r="C814" s="40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40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47"/>
      <c r="B815" s="5"/>
      <c r="C815" s="40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40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47"/>
      <c r="B816" s="5"/>
      <c r="C816" s="40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40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47"/>
      <c r="B817" s="5"/>
      <c r="C817" s="40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40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47"/>
      <c r="B818" s="5"/>
      <c r="C818" s="40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40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47"/>
      <c r="B819" s="5"/>
      <c r="C819" s="40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40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47"/>
      <c r="B820" s="5"/>
      <c r="C820" s="40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40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47"/>
      <c r="B821" s="5"/>
      <c r="C821" s="40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40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47"/>
      <c r="B822" s="5"/>
      <c r="C822" s="40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40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47"/>
      <c r="B823" s="5"/>
      <c r="C823" s="40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40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47"/>
      <c r="B824" s="5"/>
      <c r="C824" s="40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40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47"/>
      <c r="B825" s="5"/>
      <c r="C825" s="40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40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47"/>
      <c r="B826" s="5"/>
      <c r="C826" s="40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40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47"/>
      <c r="B827" s="5"/>
      <c r="C827" s="40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40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47"/>
      <c r="B828" s="5"/>
      <c r="C828" s="40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40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47"/>
      <c r="B829" s="5"/>
      <c r="C829" s="40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40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47"/>
      <c r="B830" s="5"/>
      <c r="C830" s="40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40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47"/>
      <c r="B831" s="5"/>
      <c r="C831" s="40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40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47"/>
      <c r="B832" s="5"/>
      <c r="C832" s="40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40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47"/>
      <c r="B833" s="5"/>
      <c r="C833" s="40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40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47"/>
      <c r="B834" s="5"/>
      <c r="C834" s="40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40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47"/>
      <c r="B835" s="5"/>
      <c r="C835" s="40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40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47"/>
      <c r="B836" s="5"/>
      <c r="C836" s="40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40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47"/>
      <c r="B837" s="5"/>
      <c r="C837" s="40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40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47"/>
      <c r="B838" s="5"/>
      <c r="C838" s="40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40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47"/>
      <c r="B839" s="5"/>
      <c r="C839" s="40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40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47"/>
      <c r="B840" s="5"/>
      <c r="C840" s="40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40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47"/>
      <c r="B841" s="5"/>
      <c r="C841" s="40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40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47"/>
      <c r="B842" s="5"/>
      <c r="C842" s="40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40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47"/>
      <c r="B843" s="5"/>
      <c r="C843" s="40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40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47"/>
      <c r="B844" s="5"/>
      <c r="C844" s="40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40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47"/>
      <c r="B845" s="5"/>
      <c r="C845" s="40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40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47"/>
      <c r="B846" s="5"/>
      <c r="C846" s="40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40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47"/>
      <c r="B847" s="5"/>
      <c r="C847" s="40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40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47"/>
      <c r="B848" s="5"/>
      <c r="C848" s="40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40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47"/>
      <c r="B849" s="5"/>
      <c r="C849" s="40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40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47"/>
      <c r="B850" s="5"/>
      <c r="C850" s="40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40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47"/>
      <c r="B851" s="5"/>
      <c r="C851" s="40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40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47"/>
      <c r="B852" s="5"/>
      <c r="C852" s="40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40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47"/>
      <c r="B853" s="5"/>
      <c r="C853" s="40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40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47"/>
      <c r="B854" s="5"/>
      <c r="C854" s="40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40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47"/>
      <c r="B855" s="5"/>
      <c r="C855" s="40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40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47"/>
      <c r="B856" s="5"/>
      <c r="C856" s="40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40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47"/>
      <c r="B857" s="5"/>
      <c r="C857" s="40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40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47"/>
      <c r="B858" s="5"/>
      <c r="C858" s="40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40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47"/>
      <c r="B859" s="5"/>
      <c r="C859" s="40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40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47"/>
      <c r="B860" s="5"/>
      <c r="C860" s="40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40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47"/>
      <c r="B861" s="5"/>
      <c r="C861" s="40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40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47"/>
      <c r="B862" s="5"/>
      <c r="C862" s="40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40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47"/>
      <c r="B863" s="5"/>
      <c r="C863" s="40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40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47"/>
      <c r="B864" s="5"/>
      <c r="C864" s="40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40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47"/>
      <c r="B865" s="5"/>
      <c r="C865" s="40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40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47"/>
      <c r="B866" s="5"/>
      <c r="C866" s="40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40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47"/>
      <c r="B867" s="5"/>
      <c r="C867" s="40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40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47"/>
      <c r="B868" s="5"/>
      <c r="C868" s="40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40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47"/>
      <c r="B869" s="5"/>
      <c r="C869" s="40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40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47"/>
      <c r="B870" s="5"/>
      <c r="C870" s="40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40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47"/>
      <c r="B871" s="5"/>
      <c r="C871" s="40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40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47"/>
      <c r="B872" s="5"/>
      <c r="C872" s="40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40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47"/>
      <c r="B873" s="5"/>
      <c r="C873" s="40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40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47"/>
      <c r="B874" s="5"/>
      <c r="C874" s="40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40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47"/>
      <c r="B875" s="5"/>
      <c r="C875" s="40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40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47"/>
      <c r="B876" s="5"/>
      <c r="C876" s="40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40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47"/>
      <c r="B877" s="5"/>
      <c r="C877" s="40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40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47"/>
      <c r="B878" s="5"/>
      <c r="C878" s="40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40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47"/>
      <c r="B879" s="5"/>
      <c r="C879" s="40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40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47"/>
      <c r="B880" s="5"/>
      <c r="C880" s="40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40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47"/>
      <c r="B881" s="5"/>
      <c r="C881" s="40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40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47"/>
      <c r="B882" s="5"/>
      <c r="C882" s="40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40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47"/>
      <c r="B883" s="5"/>
      <c r="C883" s="40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40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47"/>
      <c r="B884" s="5"/>
      <c r="C884" s="40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40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47"/>
      <c r="B885" s="5"/>
      <c r="C885" s="40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40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47"/>
      <c r="B886" s="5"/>
      <c r="C886" s="40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40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47"/>
      <c r="B887" s="5"/>
      <c r="C887" s="40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40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47"/>
      <c r="B888" s="5"/>
      <c r="C888" s="40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40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47"/>
      <c r="B889" s="5"/>
      <c r="C889" s="40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40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47"/>
      <c r="B890" s="5"/>
      <c r="C890" s="40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40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47"/>
      <c r="B891" s="5"/>
      <c r="C891" s="40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40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47"/>
      <c r="B892" s="5"/>
      <c r="C892" s="40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40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47"/>
      <c r="B893" s="5"/>
      <c r="C893" s="40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40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47"/>
      <c r="B894" s="5"/>
      <c r="C894" s="40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40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47"/>
      <c r="B895" s="5"/>
      <c r="C895" s="40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40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47"/>
      <c r="B896" s="5"/>
      <c r="C896" s="40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40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47"/>
      <c r="B897" s="5"/>
      <c r="C897" s="40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40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47"/>
      <c r="B898" s="5"/>
      <c r="C898" s="40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40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47"/>
      <c r="B899" s="5"/>
      <c r="C899" s="40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40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47"/>
      <c r="B900" s="5"/>
      <c r="C900" s="40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40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47"/>
      <c r="B901" s="5"/>
      <c r="C901" s="40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40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47"/>
      <c r="B902" s="5"/>
      <c r="C902" s="40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40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47"/>
      <c r="B903" s="5"/>
      <c r="C903" s="40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40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47"/>
      <c r="B904" s="5"/>
      <c r="C904" s="40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40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47"/>
      <c r="B905" s="5"/>
      <c r="C905" s="40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40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47"/>
      <c r="B906" s="5"/>
      <c r="C906" s="40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40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47"/>
      <c r="B907" s="5"/>
      <c r="C907" s="40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40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47"/>
      <c r="B908" s="5"/>
      <c r="C908" s="40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40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47"/>
      <c r="B909" s="5"/>
      <c r="C909" s="40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40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47"/>
      <c r="B910" s="5"/>
      <c r="C910" s="40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40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47"/>
      <c r="B911" s="5"/>
      <c r="C911" s="40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40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47"/>
      <c r="B912" s="5"/>
      <c r="C912" s="40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40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47"/>
      <c r="B913" s="5"/>
      <c r="C913" s="40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40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47"/>
      <c r="B914" s="5"/>
      <c r="C914" s="40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40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47"/>
      <c r="B915" s="5"/>
      <c r="C915" s="40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40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47"/>
      <c r="B916" s="5"/>
      <c r="C916" s="40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40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47"/>
      <c r="B917" s="5"/>
      <c r="C917" s="40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40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47"/>
      <c r="B918" s="5"/>
      <c r="C918" s="40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40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47"/>
      <c r="B919" s="5"/>
      <c r="C919" s="40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40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47"/>
      <c r="B920" s="5"/>
      <c r="C920" s="40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40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47"/>
      <c r="B921" s="5"/>
      <c r="C921" s="40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40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47"/>
      <c r="B922" s="5"/>
      <c r="C922" s="40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40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47"/>
      <c r="B923" s="5"/>
      <c r="C923" s="40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40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47"/>
      <c r="B924" s="5"/>
      <c r="C924" s="40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40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47"/>
      <c r="B925" s="5"/>
      <c r="C925" s="40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40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47"/>
      <c r="B926" s="5"/>
      <c r="C926" s="40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40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47"/>
      <c r="B927" s="5"/>
      <c r="C927" s="40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40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47"/>
      <c r="B928" s="5"/>
      <c r="C928" s="40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40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47"/>
      <c r="B929" s="5"/>
      <c r="C929" s="40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40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47"/>
      <c r="B930" s="5"/>
      <c r="C930" s="40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40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47"/>
      <c r="B931" s="5"/>
      <c r="C931" s="40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40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47"/>
      <c r="B932" s="5"/>
      <c r="C932" s="40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40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47"/>
      <c r="B933" s="5"/>
      <c r="C933" s="40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40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47"/>
      <c r="B934" s="5"/>
      <c r="C934" s="40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40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47"/>
      <c r="B935" s="5"/>
      <c r="C935" s="40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40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47"/>
      <c r="B936" s="5"/>
      <c r="C936" s="40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40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47"/>
      <c r="B937" s="5"/>
      <c r="C937" s="40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40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47"/>
      <c r="B938" s="5"/>
      <c r="C938" s="40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40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47"/>
      <c r="B939" s="5"/>
      <c r="C939" s="40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40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47"/>
      <c r="B940" s="5"/>
      <c r="C940" s="40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40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47"/>
      <c r="B941" s="5"/>
      <c r="C941" s="40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40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47"/>
      <c r="B942" s="5"/>
      <c r="C942" s="40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40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47"/>
      <c r="B943" s="5"/>
      <c r="C943" s="40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40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47"/>
      <c r="B944" s="5"/>
      <c r="C944" s="40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40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47"/>
      <c r="B945" s="5"/>
      <c r="C945" s="40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40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47"/>
      <c r="B946" s="5"/>
      <c r="C946" s="40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40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47"/>
      <c r="B947" s="5"/>
      <c r="C947" s="40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40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47"/>
      <c r="B948" s="5"/>
      <c r="C948" s="40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40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47"/>
      <c r="B949" s="5"/>
      <c r="C949" s="40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40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47"/>
      <c r="B950" s="5"/>
      <c r="C950" s="40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40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47"/>
      <c r="B951" s="5"/>
      <c r="C951" s="40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40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47"/>
      <c r="B952" s="5"/>
      <c r="C952" s="40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40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47"/>
      <c r="B953" s="5"/>
      <c r="C953" s="40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40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47"/>
      <c r="B954" s="5"/>
      <c r="C954" s="40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40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47"/>
      <c r="B955" s="5"/>
      <c r="C955" s="40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40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47"/>
      <c r="B956" s="5"/>
      <c r="C956" s="40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40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47"/>
      <c r="B957" s="5"/>
      <c r="C957" s="40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40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47"/>
      <c r="B958" s="5"/>
      <c r="C958" s="40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40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47"/>
      <c r="B959" s="5"/>
      <c r="C959" s="40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40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47"/>
      <c r="B960" s="5"/>
      <c r="C960" s="40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40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47"/>
      <c r="B961" s="5"/>
      <c r="C961" s="40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40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47"/>
      <c r="B962" s="5"/>
      <c r="C962" s="40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40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47"/>
      <c r="B963" s="5"/>
      <c r="C963" s="40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40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47"/>
      <c r="B964" s="5"/>
      <c r="C964" s="40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40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47"/>
      <c r="B965" s="5"/>
      <c r="C965" s="40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40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47"/>
      <c r="B966" s="5"/>
      <c r="C966" s="40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40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47"/>
      <c r="B967" s="5"/>
      <c r="C967" s="40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40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47"/>
      <c r="B968" s="5"/>
      <c r="C968" s="40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40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47"/>
      <c r="B969" s="5"/>
      <c r="C969" s="40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40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47"/>
      <c r="B970" s="5"/>
      <c r="C970" s="40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40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47"/>
      <c r="B971" s="5"/>
      <c r="C971" s="40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40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47"/>
      <c r="B972" s="5"/>
      <c r="C972" s="40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40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47"/>
      <c r="B973" s="5"/>
      <c r="C973" s="40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40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47"/>
      <c r="B974" s="5"/>
      <c r="C974" s="40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40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47"/>
      <c r="B975" s="5"/>
      <c r="C975" s="40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40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47"/>
      <c r="B976" s="5"/>
      <c r="C976" s="40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40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47"/>
      <c r="B977" s="5"/>
      <c r="C977" s="40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40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47"/>
      <c r="B978" s="5"/>
      <c r="C978" s="40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40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47"/>
      <c r="B979" s="5"/>
      <c r="C979" s="40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40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47"/>
      <c r="B980" s="5"/>
      <c r="C980" s="40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40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47"/>
      <c r="B981" s="5"/>
      <c r="C981" s="40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40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47"/>
      <c r="B982" s="5"/>
      <c r="C982" s="40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40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47"/>
      <c r="B983" s="5"/>
      <c r="C983" s="40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40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47"/>
      <c r="B984" s="5"/>
      <c r="C984" s="40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40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47"/>
      <c r="B985" s="5"/>
      <c r="C985" s="40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40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47"/>
      <c r="B986" s="5"/>
      <c r="C986" s="40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40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47"/>
      <c r="B987" s="5"/>
      <c r="C987" s="40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40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47"/>
      <c r="B988" s="5"/>
      <c r="C988" s="40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40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47"/>
      <c r="B989" s="5"/>
      <c r="C989" s="40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40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47"/>
      <c r="B990" s="5"/>
      <c r="C990" s="40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40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47"/>
      <c r="B991" s="5"/>
      <c r="C991" s="40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40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47"/>
      <c r="B992" s="5"/>
      <c r="C992" s="40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40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47"/>
      <c r="B993" s="5"/>
      <c r="C993" s="40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40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47"/>
      <c r="B994" s="5"/>
      <c r="C994" s="40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40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47"/>
      <c r="B995" s="5"/>
      <c r="C995" s="40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40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47"/>
      <c r="B996" s="5"/>
      <c r="C996" s="40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40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47"/>
      <c r="B997" s="5"/>
      <c r="C997" s="40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40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47"/>
      <c r="B998" s="5"/>
      <c r="C998" s="40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40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47"/>
      <c r="B999" s="5"/>
      <c r="C999" s="40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40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47"/>
      <c r="B1000" s="5"/>
      <c r="C1000" s="40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40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47"/>
      <c r="B1001" s="5"/>
      <c r="C1001" s="40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40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28">
    <mergeCell ref="F2:G2"/>
    <mergeCell ref="F3:G3"/>
    <mergeCell ref="F4:G4"/>
    <mergeCell ref="F5:G5"/>
    <mergeCell ref="F6:G6"/>
    <mergeCell ref="F7:G7"/>
    <mergeCell ref="A1:D1"/>
    <mergeCell ref="F1:I1"/>
    <mergeCell ref="L1:N1"/>
    <mergeCell ref="A2:B2"/>
    <mergeCell ref="C2:D2"/>
    <mergeCell ref="A3:B3"/>
    <mergeCell ref="C3:D3"/>
    <mergeCell ref="A9:B9"/>
    <mergeCell ref="A10:B10"/>
    <mergeCell ref="A11:B11"/>
    <mergeCell ref="A12:B12"/>
    <mergeCell ref="A13:B13"/>
    <mergeCell ref="A14:B14"/>
    <mergeCell ref="A15:B15"/>
    <mergeCell ref="A16:B16"/>
    <mergeCell ref="A4:B4"/>
    <mergeCell ref="C4:D4"/>
    <mergeCell ref="A5:B5"/>
    <mergeCell ref="C5:D5"/>
    <mergeCell ref="A6:B6"/>
    <mergeCell ref="C6:D6"/>
    <mergeCell ref="A8:D8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13"/>
    <col customWidth="1" min="4" max="4" width="21.88"/>
    <col customWidth="1" min="5" max="5" width="15.63"/>
    <col customWidth="1" min="6" max="6" width="24.38"/>
    <col customWidth="1" min="7" max="7" width="41.38"/>
    <col customWidth="1" min="8" max="8" width="14.38"/>
  </cols>
  <sheetData>
    <row r="1">
      <c r="A1" s="48" t="s">
        <v>24</v>
      </c>
      <c r="B1" s="49" t="s">
        <v>25</v>
      </c>
      <c r="C1" s="49" t="s">
        <v>26</v>
      </c>
      <c r="D1" s="49" t="s">
        <v>27</v>
      </c>
      <c r="E1" s="50"/>
      <c r="F1" s="51" t="s">
        <v>24</v>
      </c>
      <c r="G1" s="51" t="s">
        <v>28</v>
      </c>
      <c r="H1" s="52" t="s">
        <v>26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3">
        <v>46294.0</v>
      </c>
      <c r="B2" s="54" t="s">
        <v>29</v>
      </c>
      <c r="C2" s="54">
        <v>1000.0</v>
      </c>
      <c r="D2" s="55" t="s">
        <v>30</v>
      </c>
      <c r="E2" s="54"/>
      <c r="F2" s="56">
        <v>46294.0</v>
      </c>
      <c r="G2" s="57" t="s">
        <v>31</v>
      </c>
      <c r="H2" s="58">
        <f>24357+'T92026'!G18</f>
        <v>24485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B3" s="54" t="s">
        <v>32</v>
      </c>
      <c r="C3" s="54">
        <v>2000.0</v>
      </c>
      <c r="D3" s="55" t="s">
        <v>30</v>
      </c>
      <c r="E3" s="59"/>
      <c r="F3" s="60"/>
      <c r="G3" s="54"/>
      <c r="H3" s="61">
        <v>5500.0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B4" s="54" t="s">
        <v>33</v>
      </c>
      <c r="C4" s="54">
        <v>300.0</v>
      </c>
      <c r="D4" s="55" t="s">
        <v>34</v>
      </c>
      <c r="E4" s="50"/>
      <c r="F4" s="60"/>
      <c r="G4" s="54"/>
      <c r="H4" s="61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B5" s="54" t="s">
        <v>35</v>
      </c>
      <c r="C5" s="54">
        <v>1000.0</v>
      </c>
      <c r="D5" s="55" t="s">
        <v>35</v>
      </c>
      <c r="E5" s="59"/>
      <c r="F5" s="60"/>
      <c r="G5" s="54"/>
      <c r="H5" s="61"/>
      <c r="I5" s="59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B6" s="54" t="s">
        <v>36</v>
      </c>
      <c r="C6" s="54">
        <v>550.0</v>
      </c>
      <c r="D6" s="55" t="s">
        <v>30</v>
      </c>
      <c r="E6" s="50"/>
      <c r="F6" s="60"/>
      <c r="G6" s="54"/>
      <c r="H6" s="61"/>
      <c r="I6" s="59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B7" s="54" t="s">
        <v>37</v>
      </c>
      <c r="C7" s="54">
        <v>70.0</v>
      </c>
      <c r="D7" s="55" t="s">
        <v>38</v>
      </c>
      <c r="E7" s="50"/>
      <c r="F7" s="60"/>
      <c r="G7" s="54"/>
      <c r="H7" s="61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B8" s="54" t="s">
        <v>39</v>
      </c>
      <c r="C8" s="54">
        <v>57.0</v>
      </c>
      <c r="D8" s="55" t="s">
        <v>40</v>
      </c>
      <c r="E8" s="50"/>
      <c r="F8" s="60"/>
      <c r="G8" s="54"/>
      <c r="H8" s="61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B9" s="54" t="s">
        <v>41</v>
      </c>
      <c r="C9" s="54">
        <v>3000.0</v>
      </c>
      <c r="D9" s="55" t="s">
        <v>42</v>
      </c>
      <c r="E9" s="50"/>
      <c r="F9" s="60"/>
      <c r="G9" s="54"/>
      <c r="H9" s="61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B10" s="54" t="s">
        <v>43</v>
      </c>
      <c r="C10" s="54">
        <v>89.0</v>
      </c>
      <c r="D10" s="55" t="s">
        <v>40</v>
      </c>
      <c r="E10" s="50"/>
      <c r="F10" s="60"/>
      <c r="G10" s="54"/>
      <c r="H10" s="61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B11" s="54" t="s">
        <v>44</v>
      </c>
      <c r="C11" s="54">
        <v>600.0</v>
      </c>
      <c r="D11" s="55" t="s">
        <v>45</v>
      </c>
      <c r="E11" s="54"/>
      <c r="F11" s="60"/>
      <c r="G11" s="54"/>
      <c r="H11" s="61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B12" s="54" t="s">
        <v>46</v>
      </c>
      <c r="C12" s="54">
        <v>800.0</v>
      </c>
      <c r="D12" s="55" t="s">
        <v>30</v>
      </c>
      <c r="E12" s="50"/>
      <c r="F12" s="62"/>
      <c r="G12" s="63"/>
      <c r="H12" s="64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53">
        <v>46295.0</v>
      </c>
      <c r="B13" s="54" t="s">
        <v>47</v>
      </c>
      <c r="C13" s="54">
        <v>135.0</v>
      </c>
      <c r="D13" s="55" t="s">
        <v>48</v>
      </c>
      <c r="E13" s="50"/>
      <c r="F13" s="65" t="s">
        <v>49</v>
      </c>
      <c r="G13" s="66">
        <f>SUM(H2:H12)</f>
        <v>29985</v>
      </c>
      <c r="H13" s="27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B14" s="54" t="s">
        <v>50</v>
      </c>
      <c r="C14" s="54">
        <v>60.0</v>
      </c>
      <c r="D14" s="55" t="s">
        <v>40</v>
      </c>
      <c r="E14" s="50"/>
      <c r="F14" s="67" t="s">
        <v>51</v>
      </c>
      <c r="G14" s="68">
        <f>SUMPRODUCT(((D2:D233&lt;&gt;"Credit")*(D2:D233&lt;&gt;"Quỹ Shinhan"))*C2:C233) + G15</f>
        <v>12623</v>
      </c>
      <c r="H14" s="3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B15" s="54" t="s">
        <v>52</v>
      </c>
      <c r="C15" s="54">
        <v>75.0</v>
      </c>
      <c r="D15" s="55" t="s">
        <v>38</v>
      </c>
      <c r="E15" s="59"/>
      <c r="F15" s="67" t="s">
        <v>53</v>
      </c>
      <c r="G15" s="69">
        <f>39</f>
        <v>39</v>
      </c>
      <c r="H15" s="3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B16" s="54" t="s">
        <v>54</v>
      </c>
      <c r="C16" s="54">
        <v>25.0</v>
      </c>
      <c r="D16" s="55" t="s">
        <v>40</v>
      </c>
      <c r="E16" s="50"/>
      <c r="F16" s="67" t="s">
        <v>55</v>
      </c>
      <c r="G16" s="69">
        <v>0.0</v>
      </c>
      <c r="H16" s="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53">
        <v>46296.0</v>
      </c>
      <c r="B17" s="54" t="s">
        <v>10</v>
      </c>
      <c r="C17" s="54">
        <v>1700.0</v>
      </c>
      <c r="D17" s="55" t="s">
        <v>10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B18" s="54" t="s">
        <v>56</v>
      </c>
      <c r="C18" s="54">
        <v>16.0</v>
      </c>
      <c r="D18" s="55" t="s">
        <v>40</v>
      </c>
      <c r="E18" s="59"/>
      <c r="F18" s="67" t="s">
        <v>57</v>
      </c>
      <c r="G18" s="70">
        <f>G13-G14-J26</f>
        <v>5318</v>
      </c>
      <c r="H18" s="3"/>
      <c r="I18" s="54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B19" s="54" t="s">
        <v>58</v>
      </c>
      <c r="C19" s="54">
        <v>45.0</v>
      </c>
      <c r="D19" s="55" t="s">
        <v>40</v>
      </c>
      <c r="E19" s="50"/>
      <c r="F19" s="67" t="s">
        <v>59</v>
      </c>
      <c r="G19" s="71">
        <f>G13-G14</f>
        <v>17362</v>
      </c>
      <c r="H19" s="3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B20" s="54" t="s">
        <v>60</v>
      </c>
      <c r="C20" s="54">
        <v>160.0</v>
      </c>
      <c r="D20" s="55" t="s">
        <v>38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B21" s="54" t="s">
        <v>61</v>
      </c>
      <c r="C21" s="54">
        <v>20.0</v>
      </c>
      <c r="D21" s="55" t="s">
        <v>40</v>
      </c>
      <c r="E21" s="50"/>
      <c r="F21" s="72" t="s">
        <v>62</v>
      </c>
      <c r="G21" s="72" t="s">
        <v>63</v>
      </c>
      <c r="H21" s="72" t="s">
        <v>64</v>
      </c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53">
        <v>46297.0</v>
      </c>
      <c r="B22" s="54" t="s">
        <v>61</v>
      </c>
      <c r="C22" s="54">
        <v>14.0</v>
      </c>
      <c r="D22" s="55" t="s">
        <v>40</v>
      </c>
      <c r="E22" s="50"/>
      <c r="F22" s="73" t="s">
        <v>40</v>
      </c>
      <c r="G22" s="74">
        <v>8000.0</v>
      </c>
      <c r="H22" s="75">
        <f>SUMIF(D2:D156, "=Living expense",C2:C174)+G15</f>
        <v>412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B23" s="54" t="s">
        <v>50</v>
      </c>
      <c r="C23" s="54">
        <v>38.0</v>
      </c>
      <c r="D23" s="55" t="s">
        <v>40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B24" s="54" t="s">
        <v>65</v>
      </c>
      <c r="C24" s="54">
        <v>10.0</v>
      </c>
      <c r="D24" s="55" t="s">
        <v>66</v>
      </c>
      <c r="E24" s="50"/>
      <c r="F24" s="76" t="s">
        <v>67</v>
      </c>
      <c r="G24" s="2"/>
      <c r="H24" s="2"/>
      <c r="I24" s="2"/>
      <c r="J24" s="3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B25" s="54" t="s">
        <v>68</v>
      </c>
      <c r="C25" s="54">
        <v>646.0</v>
      </c>
      <c r="D25" s="55" t="s">
        <v>66</v>
      </c>
      <c r="E25" s="50"/>
      <c r="F25" s="72" t="s">
        <v>62</v>
      </c>
      <c r="G25" s="72" t="s">
        <v>63</v>
      </c>
      <c r="H25" s="72" t="s">
        <v>64</v>
      </c>
      <c r="I25" s="72" t="s">
        <v>69</v>
      </c>
      <c r="J25" s="72" t="s">
        <v>70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B26" s="54" t="s">
        <v>71</v>
      </c>
      <c r="C26" s="54">
        <v>300.0</v>
      </c>
      <c r="D26" s="55" t="s">
        <v>72</v>
      </c>
      <c r="E26" s="50"/>
      <c r="F26" s="77" t="s">
        <v>73</v>
      </c>
      <c r="G26" s="78">
        <f t="shared" ref="G26:H26" si="1">SUM(G27:G111)</f>
        <v>23530</v>
      </c>
      <c r="H26" s="79">
        <f t="shared" si="1"/>
        <v>10706</v>
      </c>
      <c r="I26" s="80"/>
      <c r="J26" s="79">
        <f>SUM(J27:J111)</f>
        <v>12044</v>
      </c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B27" s="54" t="s">
        <v>74</v>
      </c>
      <c r="C27" s="54">
        <v>30.0</v>
      </c>
      <c r="D27" s="55" t="s">
        <v>40</v>
      </c>
      <c r="E27" s="59"/>
      <c r="F27" s="81" t="s">
        <v>66</v>
      </c>
      <c r="G27" s="82">
        <v>7200.0</v>
      </c>
      <c r="H27" s="83">
        <f>IFERROR(__xludf.DUMMYFUNCTION("SUMIF($D$2:$D$532, TO_TEXT(F27) ,$C$2:$C$532)"),656.0)</f>
        <v>656</v>
      </c>
      <c r="I27" s="54" t="b">
        <v>0</v>
      </c>
      <c r="J27" s="84">
        <f t="shared" ref="J27:J34" si="2">IF(I27=TRUE,0,MAX(G27-H27,0))</f>
        <v>6544</v>
      </c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B28" s="54" t="s">
        <v>56</v>
      </c>
      <c r="C28" s="54">
        <v>24.0</v>
      </c>
      <c r="D28" s="55" t="s">
        <v>40</v>
      </c>
      <c r="E28" s="50"/>
      <c r="F28" s="81" t="s">
        <v>12</v>
      </c>
      <c r="G28" s="82">
        <v>5000.0</v>
      </c>
      <c r="H28" s="83">
        <f>IFERROR(__xludf.DUMMYFUNCTION("SUMIF($D$2:$D$532, TO_TEXT(F28) ,$C$2:$C$532)"),0.0)</f>
        <v>0</v>
      </c>
      <c r="I28" s="54" t="b">
        <v>0</v>
      </c>
      <c r="J28" s="84">
        <f t="shared" si="2"/>
        <v>5000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B29" s="54" t="s">
        <v>75</v>
      </c>
      <c r="C29" s="54">
        <v>-45.0</v>
      </c>
      <c r="D29" s="55" t="s">
        <v>40</v>
      </c>
      <c r="E29" s="50"/>
      <c r="F29" s="54" t="s">
        <v>30</v>
      </c>
      <c r="G29" s="55">
        <f>2000+1000+550+800</f>
        <v>4350</v>
      </c>
      <c r="H29" s="83">
        <f>IFERROR(__xludf.DUMMYFUNCTION("SUMIF($D$2:$D$532, TO_TEXT(F29) ,$C$2:$C$532)"),4350.0)</f>
        <v>4350</v>
      </c>
      <c r="I29" s="54" t="b">
        <v>1</v>
      </c>
      <c r="J29" s="84">
        <f t="shared" si="2"/>
        <v>0</v>
      </c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85"/>
      <c r="B30" s="59"/>
      <c r="C30" s="59"/>
      <c r="D30" s="55" t="s">
        <v>40</v>
      </c>
      <c r="E30" s="54"/>
      <c r="F30" s="81" t="s">
        <v>35</v>
      </c>
      <c r="G30" s="82">
        <v>1000.0</v>
      </c>
      <c r="H30" s="83">
        <f>IFERROR(__xludf.DUMMYFUNCTION("SUMIF($D$2:$D$532, TO_TEXT(F30) ,$C$2:$C$532)"),1000.0)</f>
        <v>1000</v>
      </c>
      <c r="I30" s="54" t="b">
        <v>1</v>
      </c>
      <c r="J30" s="84">
        <f t="shared" si="2"/>
        <v>0</v>
      </c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85"/>
      <c r="B31" s="59"/>
      <c r="C31" s="59"/>
      <c r="D31" s="55" t="s">
        <v>40</v>
      </c>
      <c r="E31" s="50"/>
      <c r="F31" s="54" t="s">
        <v>10</v>
      </c>
      <c r="G31" s="55">
        <v>1700.0</v>
      </c>
      <c r="H31" s="83">
        <f>IFERROR(__xludf.DUMMYFUNCTION("SUMIF($D$2:$D$532, TO_TEXT(F31) ,$C$2:$C$532)"),1700.0)</f>
        <v>1700</v>
      </c>
      <c r="I31" s="54" t="b">
        <v>1</v>
      </c>
      <c r="J31" s="84">
        <f t="shared" si="2"/>
        <v>0</v>
      </c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85"/>
      <c r="B32" s="59"/>
      <c r="C32" s="59"/>
      <c r="D32" s="55" t="s">
        <v>40</v>
      </c>
      <c r="E32" s="50"/>
      <c r="F32" s="81" t="s">
        <v>42</v>
      </c>
      <c r="G32" s="82">
        <v>3000.0</v>
      </c>
      <c r="H32" s="83">
        <f>IFERROR(__xludf.DUMMYFUNCTION("SUMIF($D$2:$D$532, TO_TEXT(F32) ,$C$2:$C$532)"),3000.0)</f>
        <v>3000</v>
      </c>
      <c r="I32" s="54" t="b">
        <v>1</v>
      </c>
      <c r="J32" s="84">
        <f t="shared" si="2"/>
        <v>0</v>
      </c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85"/>
      <c r="B33" s="59"/>
      <c r="C33" s="59"/>
      <c r="D33" s="55" t="s">
        <v>40</v>
      </c>
      <c r="E33" s="50"/>
      <c r="F33" s="54" t="s">
        <v>76</v>
      </c>
      <c r="G33" s="55">
        <v>500.0</v>
      </c>
      <c r="H33" s="83">
        <f>IFERROR(__xludf.DUMMYFUNCTION("SUMIF($D$2:$D$532, TO_TEXT(F33) ,$C$2:$C$532)"),0.0)</f>
        <v>0</v>
      </c>
      <c r="I33" s="54" t="b">
        <v>0</v>
      </c>
      <c r="J33" s="84">
        <f t="shared" si="2"/>
        <v>500</v>
      </c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85"/>
      <c r="B34" s="59"/>
      <c r="C34" s="59"/>
      <c r="D34" s="55" t="s">
        <v>40</v>
      </c>
      <c r="E34" s="59"/>
      <c r="F34" s="54" t="s">
        <v>77</v>
      </c>
      <c r="G34" s="55">
        <f>600+180</f>
        <v>780</v>
      </c>
      <c r="H34" s="83">
        <f>IFERROR(__xludf.DUMMYFUNCTION("SUMIF($D$2:$D$532, TO_TEXT(F34) ,$C$2:$C$532)"),0.0)</f>
        <v>0</v>
      </c>
      <c r="I34" s="54" t="b">
        <v>1</v>
      </c>
      <c r="J34" s="84">
        <f t="shared" si="2"/>
        <v>0</v>
      </c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85"/>
      <c r="B35" s="59"/>
      <c r="C35" s="59"/>
      <c r="D35" s="55" t="s">
        <v>40</v>
      </c>
      <c r="E35" s="50"/>
      <c r="F35" s="81"/>
      <c r="G35" s="55"/>
      <c r="H35" s="83"/>
      <c r="I35" s="54"/>
      <c r="J35" s="84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85"/>
      <c r="B36" s="59"/>
      <c r="C36" s="59"/>
      <c r="D36" s="55" t="s">
        <v>40</v>
      </c>
      <c r="E36" s="54"/>
      <c r="F36" s="54"/>
      <c r="G36" s="55"/>
      <c r="H36" s="83"/>
      <c r="I36" s="54"/>
      <c r="J36" s="84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85"/>
      <c r="B37" s="59"/>
      <c r="C37" s="59"/>
      <c r="D37" s="55" t="s">
        <v>40</v>
      </c>
      <c r="E37" s="54"/>
      <c r="F37" s="54"/>
      <c r="G37" s="55"/>
      <c r="H37" s="83"/>
      <c r="I37" s="54"/>
      <c r="J37" s="84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A38" s="85"/>
      <c r="B38" s="59"/>
      <c r="C38" s="59"/>
      <c r="D38" s="55" t="s">
        <v>40</v>
      </c>
      <c r="E38" s="59"/>
      <c r="F38" s="54"/>
      <c r="G38" s="55"/>
      <c r="H38" s="83"/>
      <c r="I38" s="55"/>
      <c r="J38" s="83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85"/>
      <c r="B39" s="59"/>
      <c r="C39" s="59"/>
      <c r="D39" s="55" t="s">
        <v>40</v>
      </c>
      <c r="E39" s="59"/>
      <c r="F39" s="54"/>
      <c r="G39" s="55"/>
      <c r="H39" s="83"/>
      <c r="I39" s="55"/>
      <c r="J39" s="83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85"/>
      <c r="B40" s="59"/>
      <c r="C40" s="59"/>
      <c r="D40" s="55" t="s">
        <v>40</v>
      </c>
      <c r="E40" s="59"/>
      <c r="F40" s="54"/>
      <c r="G40" s="55"/>
      <c r="H40" s="83"/>
      <c r="I40" s="55"/>
      <c r="J40" s="83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85"/>
      <c r="B41" s="59"/>
      <c r="C41" s="59"/>
      <c r="D41" s="55" t="s">
        <v>40</v>
      </c>
      <c r="E41" s="54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85"/>
      <c r="B42" s="59"/>
      <c r="C42" s="59"/>
      <c r="D42" s="55" t="s">
        <v>40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85"/>
      <c r="B43" s="59"/>
      <c r="C43" s="59"/>
      <c r="D43" s="55" t="s">
        <v>40</v>
      </c>
      <c r="E43" s="59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85"/>
      <c r="B44" s="59"/>
      <c r="C44" s="59"/>
      <c r="D44" s="55" t="s">
        <v>40</v>
      </c>
      <c r="E44" s="54"/>
      <c r="F44" s="54"/>
      <c r="G44" s="55"/>
      <c r="H44" s="83"/>
      <c r="I44" s="55"/>
      <c r="J44" s="83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85"/>
      <c r="B45" s="59"/>
      <c r="C45" s="59"/>
      <c r="D45" s="55" t="s">
        <v>40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85"/>
      <c r="B46" s="59"/>
      <c r="C46" s="59"/>
      <c r="D46" s="55" t="s">
        <v>40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85"/>
      <c r="B47" s="59"/>
      <c r="C47" s="59"/>
      <c r="D47" s="55" t="s">
        <v>40</v>
      </c>
      <c r="E47" s="54"/>
      <c r="F47" s="54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85"/>
      <c r="B48" s="59"/>
      <c r="C48" s="59"/>
      <c r="D48" s="55" t="s">
        <v>40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85"/>
      <c r="B49" s="59"/>
      <c r="C49" s="59"/>
      <c r="D49" s="55" t="s">
        <v>40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85"/>
      <c r="B50" s="59"/>
      <c r="C50" s="59"/>
      <c r="D50" s="55" t="s">
        <v>40</v>
      </c>
      <c r="E50" s="59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85"/>
      <c r="B51" s="59"/>
      <c r="C51" s="59"/>
      <c r="D51" s="55" t="s">
        <v>40</v>
      </c>
      <c r="E51" s="59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85"/>
      <c r="B52" s="59"/>
      <c r="C52" s="59"/>
      <c r="D52" s="55" t="s">
        <v>40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85"/>
      <c r="B53" s="59"/>
      <c r="C53" s="59"/>
      <c r="D53" s="55" t="s">
        <v>40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85"/>
      <c r="B54" s="59"/>
      <c r="C54" s="59"/>
      <c r="D54" s="55" t="s">
        <v>40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A55" s="85"/>
      <c r="B55" s="59"/>
      <c r="C55" s="59"/>
      <c r="D55" s="55" t="s">
        <v>40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85"/>
      <c r="B56" s="59"/>
      <c r="C56" s="59"/>
      <c r="D56" s="55" t="s">
        <v>40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85"/>
      <c r="B57" s="59"/>
      <c r="C57" s="59"/>
      <c r="D57" s="55" t="s">
        <v>40</v>
      </c>
      <c r="E57" s="59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85"/>
      <c r="B58" s="59"/>
      <c r="C58" s="59"/>
      <c r="D58" s="55" t="s">
        <v>40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85"/>
      <c r="B59" s="59"/>
      <c r="C59" s="59"/>
      <c r="D59" s="55" t="s">
        <v>40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85"/>
      <c r="B60" s="59"/>
      <c r="C60" s="59"/>
      <c r="D60" s="55" t="s">
        <v>40</v>
      </c>
      <c r="E60" s="54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A61" s="85"/>
      <c r="B61" s="59"/>
      <c r="C61" s="59"/>
      <c r="D61" s="55" t="s">
        <v>40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A62" s="85"/>
      <c r="B62" s="59"/>
      <c r="C62" s="59"/>
      <c r="D62" s="55" t="s">
        <v>40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85"/>
      <c r="B63" s="59"/>
      <c r="C63" s="59"/>
      <c r="D63" s="55" t="s">
        <v>40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85"/>
      <c r="B64" s="59"/>
      <c r="C64" s="59"/>
      <c r="D64" s="55" t="s">
        <v>40</v>
      </c>
      <c r="E64" s="59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85"/>
      <c r="B65" s="59"/>
      <c r="C65" s="59"/>
      <c r="D65" s="55" t="s">
        <v>40</v>
      </c>
      <c r="E65" s="59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85"/>
      <c r="B66" s="59"/>
      <c r="C66" s="59"/>
      <c r="D66" s="55" t="s">
        <v>40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85"/>
      <c r="B67" s="59"/>
      <c r="C67" s="59"/>
      <c r="D67" s="55" t="s">
        <v>40</v>
      </c>
      <c r="E67" s="59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85"/>
      <c r="B68" s="59"/>
      <c r="C68" s="59"/>
      <c r="D68" s="55" t="s">
        <v>40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85"/>
      <c r="B69" s="59"/>
      <c r="C69" s="59"/>
      <c r="D69" s="55" t="s">
        <v>40</v>
      </c>
      <c r="E69" s="59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A70" s="85"/>
      <c r="B70" s="59"/>
      <c r="C70" s="59"/>
      <c r="D70" s="55" t="s">
        <v>40</v>
      </c>
      <c r="E70" s="59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85"/>
      <c r="B71" s="59"/>
      <c r="C71" s="59"/>
      <c r="D71" s="55" t="s">
        <v>40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85"/>
      <c r="B72" s="59"/>
      <c r="C72" s="59"/>
      <c r="D72" s="55" t="s">
        <v>40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85"/>
      <c r="B73" s="59"/>
      <c r="C73" s="59"/>
      <c r="D73" s="55" t="s">
        <v>40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A74" s="85"/>
      <c r="B74" s="59"/>
      <c r="C74" s="59"/>
      <c r="D74" s="55" t="s">
        <v>40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85"/>
      <c r="B75" s="59"/>
      <c r="C75" s="59"/>
      <c r="D75" s="55" t="s">
        <v>40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85"/>
      <c r="B76" s="59"/>
      <c r="C76" s="59"/>
      <c r="D76" s="55" t="s">
        <v>40</v>
      </c>
      <c r="E76" s="54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85"/>
      <c r="B77" s="59"/>
      <c r="C77" s="59"/>
      <c r="D77" s="55" t="s">
        <v>40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85"/>
      <c r="B78" s="59"/>
      <c r="C78" s="59"/>
      <c r="D78" s="55" t="s">
        <v>40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A79" s="85"/>
      <c r="B79" s="59"/>
      <c r="C79" s="59"/>
      <c r="D79" s="55" t="s">
        <v>40</v>
      </c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85"/>
      <c r="B80" s="59"/>
      <c r="C80" s="59"/>
      <c r="D80" s="55" t="s">
        <v>40</v>
      </c>
      <c r="E80" s="59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85"/>
      <c r="B81" s="59"/>
      <c r="C81" s="59"/>
      <c r="D81" s="55" t="s">
        <v>40</v>
      </c>
      <c r="E81" s="59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85"/>
      <c r="B82" s="59"/>
      <c r="C82" s="59"/>
      <c r="D82" s="55" t="s">
        <v>40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85"/>
      <c r="B83" s="59"/>
      <c r="C83" s="59"/>
      <c r="D83" s="55" t="s">
        <v>40</v>
      </c>
      <c r="E83" s="59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85"/>
      <c r="B84" s="59"/>
      <c r="C84" s="59"/>
      <c r="D84" s="55" t="s">
        <v>40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85"/>
      <c r="B85" s="59"/>
      <c r="C85" s="59"/>
      <c r="D85" s="55" t="s">
        <v>40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A86" s="85"/>
      <c r="B86" s="59"/>
      <c r="C86" s="59"/>
      <c r="D86" s="55" t="s">
        <v>40</v>
      </c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85"/>
      <c r="B87" s="59"/>
      <c r="C87" s="59"/>
      <c r="D87" s="55" t="s">
        <v>40</v>
      </c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85"/>
      <c r="B88" s="59"/>
      <c r="C88" s="59"/>
      <c r="D88" s="55" t="s">
        <v>40</v>
      </c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85"/>
      <c r="B89" s="59"/>
      <c r="C89" s="59"/>
      <c r="D89" s="55" t="s">
        <v>40</v>
      </c>
      <c r="E89" s="54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85"/>
      <c r="B90" s="59"/>
      <c r="C90" s="59"/>
      <c r="D90" s="55" t="s">
        <v>40</v>
      </c>
      <c r="E90" s="54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85"/>
      <c r="B91" s="59"/>
      <c r="C91" s="59"/>
      <c r="D91" s="55" t="s">
        <v>40</v>
      </c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A92" s="85"/>
      <c r="B92" s="59"/>
      <c r="C92" s="59"/>
      <c r="D92" s="55" t="s">
        <v>40</v>
      </c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85"/>
      <c r="B93" s="59"/>
      <c r="C93" s="59"/>
      <c r="D93" s="86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85"/>
      <c r="B94" s="59"/>
      <c r="C94" s="59"/>
      <c r="D94" s="86"/>
      <c r="E94" s="59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85"/>
      <c r="B95" s="59"/>
      <c r="C95" s="59"/>
      <c r="D95" s="86"/>
      <c r="E95" s="59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85"/>
      <c r="B96" s="59"/>
      <c r="C96" s="59"/>
      <c r="D96" s="86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85"/>
      <c r="B97" s="59"/>
      <c r="C97" s="59"/>
      <c r="D97" s="86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A98" s="85"/>
      <c r="B98" s="59"/>
      <c r="C98" s="59"/>
      <c r="D98" s="86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85"/>
      <c r="B99" s="59"/>
      <c r="C99" s="59"/>
      <c r="D99" s="86"/>
      <c r="E99" s="59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85"/>
      <c r="B100" s="59"/>
      <c r="C100" s="59"/>
      <c r="D100" s="86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85"/>
      <c r="B101" s="59"/>
      <c r="C101" s="59"/>
      <c r="D101" s="86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85"/>
      <c r="B102" s="59"/>
      <c r="C102" s="59"/>
      <c r="D102" s="86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A103" s="85"/>
      <c r="B103" s="59"/>
      <c r="C103" s="59"/>
      <c r="D103" s="86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85"/>
      <c r="B104" s="59"/>
      <c r="C104" s="59"/>
      <c r="D104" s="86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85"/>
      <c r="B105" s="59"/>
      <c r="C105" s="59"/>
      <c r="D105" s="86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85"/>
      <c r="B106" s="59"/>
      <c r="C106" s="59"/>
      <c r="D106" s="86"/>
      <c r="E106" s="59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85"/>
      <c r="B107" s="59"/>
      <c r="C107" s="59"/>
      <c r="D107" s="86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85"/>
      <c r="B108" s="59"/>
      <c r="C108" s="59"/>
      <c r="D108" s="86"/>
      <c r="E108" s="59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85"/>
      <c r="B109" s="59"/>
      <c r="C109" s="59"/>
      <c r="D109" s="86"/>
      <c r="E109" s="59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A110" s="85"/>
      <c r="B110" s="59"/>
      <c r="C110" s="59"/>
      <c r="D110" s="86"/>
      <c r="E110" s="54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85"/>
      <c r="B111" s="59"/>
      <c r="C111" s="59"/>
      <c r="D111" s="86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85"/>
      <c r="B112" s="59"/>
      <c r="C112" s="59"/>
      <c r="D112" s="86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85"/>
      <c r="B113" s="59"/>
      <c r="C113" s="59"/>
      <c r="D113" s="86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85"/>
      <c r="B114" s="59"/>
      <c r="C114" s="59"/>
      <c r="D114" s="86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85"/>
      <c r="B115" s="59"/>
      <c r="C115" s="59"/>
      <c r="D115" s="86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A116" s="85"/>
      <c r="B116" s="59"/>
      <c r="C116" s="59"/>
      <c r="D116" s="86"/>
      <c r="E116" s="54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85"/>
      <c r="B117" s="59"/>
      <c r="C117" s="59"/>
      <c r="D117" s="86"/>
      <c r="E117" s="59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85"/>
      <c r="B118" s="59"/>
      <c r="C118" s="59"/>
      <c r="D118" s="86"/>
      <c r="E118" s="59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85"/>
      <c r="B119" s="59"/>
      <c r="C119" s="59"/>
      <c r="D119" s="86"/>
      <c r="E119" s="54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85"/>
      <c r="B120" s="59"/>
      <c r="C120" s="59"/>
      <c r="D120" s="86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A121" s="85"/>
      <c r="B121" s="59"/>
      <c r="C121" s="59"/>
      <c r="D121" s="86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85"/>
      <c r="B122" s="59"/>
      <c r="C122" s="59"/>
      <c r="D122" s="86"/>
      <c r="E122" s="54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85"/>
      <c r="B123" s="59"/>
      <c r="C123" s="59"/>
      <c r="D123" s="86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85"/>
      <c r="B124" s="59"/>
      <c r="C124" s="59"/>
      <c r="D124" s="86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85"/>
      <c r="B125" s="59"/>
      <c r="C125" s="59"/>
      <c r="D125" s="86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85"/>
      <c r="B126" s="59"/>
      <c r="C126" s="59"/>
      <c r="D126" s="86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A127" s="85"/>
      <c r="B127" s="59"/>
      <c r="C127" s="59"/>
      <c r="D127" s="86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85"/>
      <c r="B128" s="59"/>
      <c r="C128" s="59"/>
      <c r="D128" s="86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85"/>
      <c r="B129" s="59"/>
      <c r="C129" s="59"/>
      <c r="D129" s="86"/>
      <c r="E129" s="59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85"/>
      <c r="B130" s="59"/>
      <c r="C130" s="59"/>
      <c r="D130" s="86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85"/>
      <c r="B131" s="59"/>
      <c r="C131" s="59"/>
      <c r="D131" s="86"/>
      <c r="E131" s="59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85"/>
      <c r="B132" s="59"/>
      <c r="C132" s="59"/>
      <c r="D132" s="86"/>
      <c r="E132" s="59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85"/>
      <c r="B133" s="59"/>
      <c r="C133" s="59"/>
      <c r="D133" s="86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85"/>
      <c r="B134" s="59"/>
      <c r="C134" s="59"/>
      <c r="D134" s="86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85"/>
      <c r="B135" s="59"/>
      <c r="C135" s="59"/>
      <c r="D135" s="86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85"/>
      <c r="B136" s="59"/>
      <c r="C136" s="59"/>
      <c r="D136" s="86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85"/>
      <c r="B137" s="59"/>
      <c r="C137" s="59"/>
      <c r="D137" s="86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85"/>
      <c r="B138" s="59"/>
      <c r="C138" s="59"/>
      <c r="D138" s="86"/>
      <c r="E138" s="59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85"/>
      <c r="B139" s="59"/>
      <c r="C139" s="59"/>
      <c r="D139" s="86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87"/>
      <c r="B140" s="59"/>
      <c r="C140" s="59"/>
      <c r="D140" s="86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87"/>
      <c r="B141" s="59"/>
      <c r="C141" s="59"/>
      <c r="D141" s="86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87"/>
      <c r="B142" s="59"/>
      <c r="C142" s="59"/>
      <c r="D142" s="86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87"/>
      <c r="B143" s="59"/>
      <c r="C143" s="59"/>
      <c r="D143" s="86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87"/>
      <c r="B144" s="59"/>
      <c r="C144" s="59"/>
      <c r="D144" s="86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87"/>
      <c r="B145" s="59"/>
      <c r="C145" s="59"/>
      <c r="D145" s="86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87"/>
      <c r="B146" s="59"/>
      <c r="C146" s="59"/>
      <c r="D146" s="86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87"/>
      <c r="B147" s="59"/>
      <c r="C147" s="59"/>
      <c r="D147" s="86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87"/>
      <c r="B148" s="59"/>
      <c r="C148" s="59"/>
      <c r="D148" s="86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87"/>
      <c r="B149" s="59"/>
      <c r="C149" s="59"/>
      <c r="D149" s="86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87"/>
      <c r="B150" s="59"/>
      <c r="C150" s="59"/>
      <c r="D150" s="86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87"/>
      <c r="B151" s="59"/>
      <c r="C151" s="59"/>
      <c r="D151" s="86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87"/>
      <c r="B152" s="59"/>
      <c r="C152" s="59"/>
      <c r="D152" s="86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84"/>
      <c r="B153" s="50"/>
      <c r="C153" s="59"/>
      <c r="D153" s="86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84"/>
      <c r="B154" s="50"/>
      <c r="C154" s="59"/>
      <c r="D154" s="86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84"/>
      <c r="B155" s="50"/>
      <c r="C155" s="59"/>
      <c r="D155" s="86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84"/>
      <c r="B156" s="88"/>
      <c r="C156" s="89"/>
      <c r="D156" s="86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84"/>
      <c r="B157" s="88"/>
      <c r="C157" s="89"/>
      <c r="D157" s="84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84"/>
      <c r="B158" s="88"/>
      <c r="C158" s="89"/>
      <c r="D158" s="84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84"/>
      <c r="B159" s="88"/>
      <c r="C159" s="89"/>
      <c r="D159" s="84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84"/>
      <c r="B160" s="88"/>
      <c r="C160" s="89"/>
      <c r="D160" s="84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84"/>
      <c r="B161" s="88"/>
      <c r="C161" s="89"/>
      <c r="D161" s="84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84"/>
      <c r="B162" s="88"/>
      <c r="C162" s="89"/>
      <c r="D162" s="84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84"/>
      <c r="B163" s="88"/>
      <c r="C163" s="89"/>
      <c r="D163" s="84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84"/>
      <c r="B164" s="88"/>
      <c r="C164" s="89"/>
      <c r="D164" s="84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84"/>
      <c r="B165" s="88"/>
      <c r="C165" s="89"/>
      <c r="D165" s="84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84"/>
      <c r="B166" s="88"/>
      <c r="C166" s="89"/>
      <c r="D166" s="84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84"/>
      <c r="B167" s="88"/>
      <c r="C167" s="89"/>
      <c r="D167" s="84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84"/>
      <c r="B168" s="88"/>
      <c r="C168" s="89"/>
      <c r="D168" s="84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84"/>
      <c r="B169" s="88"/>
      <c r="C169" s="89"/>
      <c r="D169" s="84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84"/>
      <c r="B170" s="88"/>
      <c r="C170" s="89"/>
      <c r="D170" s="84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84"/>
      <c r="B171" s="88"/>
      <c r="C171" s="89"/>
      <c r="D171" s="84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84"/>
      <c r="B172" s="88"/>
      <c r="C172" s="89"/>
      <c r="D172" s="84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84"/>
      <c r="B173" s="88"/>
      <c r="C173" s="89"/>
      <c r="D173" s="84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84"/>
      <c r="B174" s="88"/>
      <c r="C174" s="89"/>
      <c r="D174" s="84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84"/>
      <c r="B175" s="88"/>
      <c r="C175" s="89"/>
      <c r="D175" s="84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84"/>
      <c r="B176" s="88"/>
      <c r="C176" s="89"/>
      <c r="D176" s="84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84"/>
      <c r="B177" s="88"/>
      <c r="C177" s="89"/>
      <c r="D177" s="84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84"/>
      <c r="B178" s="88"/>
      <c r="C178" s="89"/>
      <c r="D178" s="84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84"/>
      <c r="B179" s="88"/>
      <c r="C179" s="89"/>
      <c r="D179" s="84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84"/>
      <c r="B180" s="88"/>
      <c r="C180" s="89"/>
      <c r="D180" s="84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84"/>
      <c r="B181" s="88"/>
      <c r="C181" s="89"/>
      <c r="D181" s="84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84"/>
      <c r="B182" s="88"/>
      <c r="C182" s="89"/>
      <c r="D182" s="84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84"/>
      <c r="B183" s="88"/>
      <c r="C183" s="89"/>
      <c r="D183" s="84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84"/>
      <c r="B184" s="88"/>
      <c r="C184" s="89"/>
      <c r="D184" s="84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84"/>
      <c r="B185" s="88"/>
      <c r="C185" s="89"/>
      <c r="D185" s="84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84"/>
      <c r="B186" s="88"/>
      <c r="C186" s="89"/>
      <c r="D186" s="84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84"/>
      <c r="B187" s="88"/>
      <c r="C187" s="89"/>
      <c r="D187" s="84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84"/>
      <c r="B188" s="88"/>
      <c r="C188" s="89"/>
      <c r="D188" s="84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84"/>
      <c r="B189" s="88"/>
      <c r="C189" s="89"/>
      <c r="D189" s="84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84"/>
      <c r="B190" s="88"/>
      <c r="C190" s="89"/>
      <c r="D190" s="84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84"/>
      <c r="B191" s="88"/>
      <c r="C191" s="89"/>
      <c r="D191" s="84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84"/>
      <c r="B192" s="88"/>
      <c r="C192" s="89"/>
      <c r="D192" s="84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84"/>
      <c r="B193" s="88"/>
      <c r="C193" s="89"/>
      <c r="D193" s="84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84"/>
      <c r="B194" s="88"/>
      <c r="C194" s="89"/>
      <c r="D194" s="84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84"/>
      <c r="B195" s="88"/>
      <c r="C195" s="89"/>
      <c r="D195" s="84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84"/>
      <c r="B196" s="88"/>
      <c r="C196" s="89"/>
      <c r="D196" s="84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84"/>
      <c r="B197" s="88"/>
      <c r="C197" s="89"/>
      <c r="D197" s="84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84"/>
      <c r="B198" s="88"/>
      <c r="C198" s="89"/>
      <c r="D198" s="84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84"/>
      <c r="B199" s="88"/>
      <c r="C199" s="89"/>
      <c r="D199" s="84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84"/>
      <c r="B200" s="88"/>
      <c r="C200" s="89"/>
      <c r="D200" s="84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84"/>
      <c r="B201" s="88"/>
      <c r="C201" s="89"/>
      <c r="D201" s="84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84"/>
      <c r="B202" s="88"/>
      <c r="C202" s="89"/>
      <c r="D202" s="84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84"/>
      <c r="B203" s="88"/>
      <c r="C203" s="89"/>
      <c r="D203" s="84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84"/>
      <c r="B204" s="88"/>
      <c r="C204" s="89"/>
      <c r="D204" s="84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84"/>
      <c r="B205" s="88"/>
      <c r="C205" s="89"/>
      <c r="D205" s="84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84"/>
      <c r="B206" s="88"/>
      <c r="C206" s="89"/>
      <c r="D206" s="84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84"/>
      <c r="B207" s="88"/>
      <c r="C207" s="89"/>
      <c r="D207" s="84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84"/>
      <c r="B208" s="88"/>
      <c r="C208" s="89"/>
      <c r="D208" s="84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84"/>
      <c r="B209" s="88"/>
      <c r="C209" s="89"/>
      <c r="D209" s="84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84"/>
      <c r="B210" s="88"/>
      <c r="C210" s="89"/>
      <c r="D210" s="84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84"/>
      <c r="B211" s="88"/>
      <c r="C211" s="89"/>
      <c r="D211" s="84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84"/>
      <c r="B212" s="88"/>
      <c r="C212" s="89"/>
      <c r="D212" s="84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84"/>
      <c r="B213" s="88"/>
      <c r="C213" s="89"/>
      <c r="D213" s="84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84"/>
      <c r="B214" s="88"/>
      <c r="C214" s="89"/>
      <c r="D214" s="84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84"/>
      <c r="B215" s="88"/>
      <c r="C215" s="89"/>
      <c r="D215" s="84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84"/>
      <c r="B216" s="88"/>
      <c r="C216" s="89"/>
      <c r="D216" s="84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84"/>
      <c r="B217" s="88"/>
      <c r="C217" s="89"/>
      <c r="D217" s="84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84"/>
      <c r="B218" s="88"/>
      <c r="C218" s="89"/>
      <c r="D218" s="84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84"/>
      <c r="B219" s="88"/>
      <c r="C219" s="89"/>
      <c r="D219" s="84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84"/>
      <c r="B220" s="88"/>
      <c r="C220" s="89"/>
      <c r="D220" s="84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84"/>
      <c r="B221" s="88"/>
      <c r="C221" s="89"/>
      <c r="D221" s="84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84"/>
      <c r="B222" s="88"/>
      <c r="C222" s="89"/>
      <c r="D222" s="84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84"/>
      <c r="B223" s="88"/>
      <c r="C223" s="89"/>
      <c r="D223" s="84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84"/>
      <c r="B224" s="88"/>
      <c r="C224" s="89"/>
      <c r="D224" s="84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84"/>
      <c r="B225" s="88"/>
      <c r="C225" s="89"/>
      <c r="D225" s="84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84"/>
      <c r="B226" s="88"/>
      <c r="C226" s="89"/>
      <c r="D226" s="84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84"/>
      <c r="B227" s="88"/>
      <c r="C227" s="89"/>
      <c r="D227" s="84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84"/>
      <c r="B228" s="88"/>
      <c r="C228" s="89"/>
      <c r="D228" s="84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84"/>
      <c r="B229" s="88"/>
      <c r="C229" s="89"/>
      <c r="D229" s="84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84"/>
      <c r="B230" s="88"/>
      <c r="C230" s="90"/>
      <c r="D230" s="84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84"/>
      <c r="B231" s="88"/>
      <c r="C231" s="90"/>
      <c r="D231" s="84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84"/>
      <c r="B232" s="88"/>
      <c r="C232" s="90"/>
      <c r="D232" s="84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84"/>
      <c r="B233" s="88"/>
      <c r="C233" s="90"/>
      <c r="D233" s="84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84"/>
      <c r="B234" s="88"/>
      <c r="C234" s="90"/>
      <c r="D234" s="84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84"/>
      <c r="B235" s="88"/>
      <c r="C235" s="90"/>
      <c r="D235" s="84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84"/>
      <c r="B236" s="88"/>
      <c r="C236" s="90"/>
      <c r="D236" s="84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84"/>
      <c r="B237" s="88"/>
      <c r="C237" s="90"/>
      <c r="D237" s="84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84"/>
      <c r="B238" s="88"/>
      <c r="C238" s="90"/>
      <c r="D238" s="84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84"/>
      <c r="B239" s="88"/>
      <c r="C239" s="90"/>
      <c r="D239" s="84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84"/>
      <c r="B240" s="88"/>
      <c r="C240" s="90"/>
      <c r="D240" s="84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84"/>
      <c r="B241" s="88"/>
      <c r="C241" s="90"/>
      <c r="D241" s="84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84"/>
      <c r="B242" s="88"/>
      <c r="C242" s="90"/>
      <c r="D242" s="84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84"/>
      <c r="B243" s="88"/>
      <c r="C243" s="90"/>
      <c r="D243" s="84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84"/>
      <c r="B244" s="88"/>
      <c r="C244" s="90"/>
      <c r="D244" s="84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84"/>
      <c r="B245" s="88"/>
      <c r="C245" s="90"/>
      <c r="D245" s="84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84"/>
      <c r="B246" s="88"/>
      <c r="C246" s="90"/>
      <c r="D246" s="84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84"/>
      <c r="B247" s="88"/>
      <c r="C247" s="90"/>
      <c r="D247" s="84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84"/>
      <c r="B248" s="88"/>
      <c r="C248" s="90"/>
      <c r="D248" s="84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84"/>
      <c r="B249" s="88"/>
      <c r="C249" s="90"/>
      <c r="D249" s="84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84"/>
      <c r="B250" s="88"/>
      <c r="C250" s="90"/>
      <c r="D250" s="84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84"/>
      <c r="B251" s="88"/>
      <c r="C251" s="90"/>
      <c r="D251" s="84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84"/>
      <c r="B252" s="88"/>
      <c r="C252" s="90"/>
      <c r="D252" s="84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84"/>
      <c r="B253" s="88"/>
      <c r="C253" s="90"/>
      <c r="D253" s="84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84"/>
      <c r="B254" s="88"/>
      <c r="C254" s="90"/>
      <c r="D254" s="84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84"/>
      <c r="B255" s="88"/>
      <c r="C255" s="90"/>
      <c r="D255" s="84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84"/>
      <c r="B256" s="88"/>
      <c r="C256" s="90"/>
      <c r="D256" s="84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84"/>
      <c r="B257" s="88"/>
      <c r="C257" s="90"/>
      <c r="D257" s="84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84"/>
      <c r="B258" s="88"/>
      <c r="C258" s="90"/>
      <c r="D258" s="84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84"/>
      <c r="B259" s="88"/>
      <c r="C259" s="90"/>
      <c r="D259" s="84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84"/>
      <c r="B260" s="88"/>
      <c r="C260" s="90"/>
      <c r="D260" s="84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84"/>
      <c r="B261" s="88"/>
      <c r="C261" s="90"/>
      <c r="D261" s="84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84"/>
      <c r="B262" s="88"/>
      <c r="C262" s="90"/>
      <c r="D262" s="84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84"/>
      <c r="B263" s="88"/>
      <c r="C263" s="90"/>
      <c r="D263" s="84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84"/>
      <c r="B264" s="88"/>
      <c r="C264" s="90"/>
      <c r="D264" s="84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84"/>
      <c r="B265" s="88"/>
      <c r="C265" s="90"/>
      <c r="D265" s="84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84"/>
      <c r="B266" s="88"/>
      <c r="C266" s="90"/>
      <c r="D266" s="84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84"/>
      <c r="B267" s="88"/>
      <c r="C267" s="90"/>
      <c r="D267" s="84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84"/>
      <c r="B268" s="88"/>
      <c r="C268" s="90"/>
      <c r="D268" s="84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84"/>
      <c r="B269" s="88"/>
      <c r="C269" s="90"/>
      <c r="D269" s="84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84"/>
      <c r="B270" s="88"/>
      <c r="C270" s="90"/>
      <c r="D270" s="84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84"/>
      <c r="B271" s="88"/>
      <c r="C271" s="90"/>
      <c r="D271" s="84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84"/>
      <c r="B272" s="88"/>
      <c r="C272" s="90"/>
      <c r="D272" s="84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84"/>
      <c r="B273" s="88"/>
      <c r="C273" s="90"/>
      <c r="D273" s="84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84"/>
      <c r="B274" s="88"/>
      <c r="C274" s="90"/>
      <c r="D274" s="84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84"/>
      <c r="B275" s="88"/>
      <c r="C275" s="90"/>
      <c r="D275" s="84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84"/>
      <c r="B276" s="88"/>
      <c r="C276" s="90"/>
      <c r="D276" s="84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84"/>
      <c r="B277" s="88"/>
      <c r="C277" s="90"/>
      <c r="D277" s="84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84"/>
      <c r="B278" s="88"/>
      <c r="C278" s="90"/>
      <c r="D278" s="84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84"/>
      <c r="B279" s="88"/>
      <c r="C279" s="90"/>
      <c r="D279" s="84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84"/>
      <c r="B280" s="88"/>
      <c r="C280" s="90"/>
      <c r="D280" s="84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84"/>
      <c r="B281" s="88"/>
      <c r="C281" s="90"/>
      <c r="D281" s="84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84"/>
      <c r="B282" s="88"/>
      <c r="C282" s="90"/>
      <c r="D282" s="84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84"/>
      <c r="B283" s="88"/>
      <c r="C283" s="90"/>
      <c r="D283" s="84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84"/>
      <c r="B284" s="88"/>
      <c r="C284" s="90"/>
      <c r="D284" s="84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84"/>
      <c r="B285" s="88"/>
      <c r="C285" s="90"/>
      <c r="D285" s="84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84"/>
      <c r="B286" s="88"/>
      <c r="C286" s="90"/>
      <c r="D286" s="84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84"/>
      <c r="B287" s="88"/>
      <c r="C287" s="90"/>
      <c r="D287" s="84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84"/>
      <c r="B288" s="88"/>
      <c r="C288" s="90"/>
      <c r="D288" s="84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84"/>
      <c r="B289" s="88"/>
      <c r="C289" s="90"/>
      <c r="D289" s="84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84"/>
      <c r="B290" s="88"/>
      <c r="C290" s="90"/>
      <c r="D290" s="84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84"/>
      <c r="B291" s="88"/>
      <c r="C291" s="90"/>
      <c r="D291" s="84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84"/>
      <c r="B292" s="88"/>
      <c r="C292" s="90"/>
      <c r="D292" s="84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84"/>
      <c r="B293" s="88"/>
      <c r="C293" s="90"/>
      <c r="D293" s="84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84"/>
      <c r="B294" s="88"/>
      <c r="C294" s="90"/>
      <c r="D294" s="84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84"/>
      <c r="B295" s="88"/>
      <c r="C295" s="90"/>
      <c r="D295" s="84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84"/>
      <c r="B296" s="88"/>
      <c r="C296" s="90"/>
      <c r="D296" s="84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84"/>
      <c r="B297" s="88"/>
      <c r="C297" s="90"/>
      <c r="D297" s="84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84"/>
      <c r="B298" s="88"/>
      <c r="C298" s="90"/>
      <c r="D298" s="84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84"/>
      <c r="B299" s="88"/>
      <c r="C299" s="90"/>
      <c r="D299" s="84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84"/>
      <c r="B300" s="88"/>
      <c r="C300" s="90"/>
      <c r="D300" s="84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84"/>
      <c r="B301" s="88"/>
      <c r="C301" s="90"/>
      <c r="D301" s="84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84"/>
      <c r="B302" s="88"/>
      <c r="C302" s="90"/>
      <c r="D302" s="84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84"/>
      <c r="B303" s="88"/>
      <c r="C303" s="90"/>
      <c r="D303" s="84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84"/>
      <c r="B304" s="88"/>
      <c r="C304" s="90"/>
      <c r="D304" s="84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84"/>
      <c r="B305" s="88"/>
      <c r="C305" s="90"/>
      <c r="D305" s="84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84"/>
      <c r="B306" s="88"/>
      <c r="C306" s="90"/>
      <c r="D306" s="84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84"/>
      <c r="B307" s="88"/>
      <c r="C307" s="90"/>
      <c r="D307" s="84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84"/>
      <c r="B308" s="88"/>
      <c r="C308" s="90"/>
      <c r="D308" s="84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84"/>
      <c r="B309" s="88"/>
      <c r="C309" s="90"/>
      <c r="D309" s="84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84"/>
      <c r="B310" s="88"/>
      <c r="C310" s="90"/>
      <c r="D310" s="84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84"/>
      <c r="B311" s="88"/>
      <c r="C311" s="90"/>
      <c r="D311" s="84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84"/>
      <c r="B312" s="88"/>
      <c r="C312" s="90"/>
      <c r="D312" s="84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84"/>
      <c r="B313" s="88"/>
      <c r="C313" s="90"/>
      <c r="D313" s="84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84"/>
      <c r="B314" s="88"/>
      <c r="C314" s="90"/>
      <c r="D314" s="84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84"/>
      <c r="B315" s="88"/>
      <c r="C315" s="90"/>
      <c r="D315" s="84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84"/>
      <c r="B316" s="88"/>
      <c r="C316" s="90"/>
      <c r="D316" s="84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84"/>
      <c r="B317" s="88"/>
      <c r="C317" s="90"/>
      <c r="D317" s="84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84"/>
      <c r="B318" s="88"/>
      <c r="C318" s="90"/>
      <c r="D318" s="84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84"/>
      <c r="B319" s="88"/>
      <c r="C319" s="90"/>
      <c r="D319" s="84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84"/>
      <c r="B320" s="88"/>
      <c r="C320" s="90"/>
      <c r="D320" s="84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84"/>
      <c r="B321" s="88"/>
      <c r="C321" s="90"/>
      <c r="D321" s="84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84"/>
      <c r="B322" s="88"/>
      <c r="C322" s="90"/>
      <c r="D322" s="84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84"/>
      <c r="B323" s="88"/>
      <c r="C323" s="90"/>
      <c r="D323" s="84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84"/>
      <c r="B324" s="88"/>
      <c r="C324" s="90"/>
      <c r="D324" s="84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84"/>
      <c r="B325" s="88"/>
      <c r="C325" s="90"/>
      <c r="D325" s="84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84"/>
      <c r="B326" s="88"/>
      <c r="C326" s="90"/>
      <c r="D326" s="84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84"/>
      <c r="B327" s="88"/>
      <c r="C327" s="90"/>
      <c r="D327" s="84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84"/>
      <c r="B328" s="88"/>
      <c r="C328" s="90"/>
      <c r="D328" s="84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84"/>
      <c r="B329" s="88"/>
      <c r="C329" s="90"/>
      <c r="D329" s="84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84"/>
      <c r="B330" s="88"/>
      <c r="C330" s="90"/>
      <c r="D330" s="84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84"/>
      <c r="B331" s="88"/>
      <c r="C331" s="90"/>
      <c r="D331" s="84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84"/>
      <c r="B332" s="88"/>
      <c r="C332" s="90"/>
      <c r="D332" s="84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84"/>
      <c r="B333" s="88"/>
      <c r="C333" s="90"/>
      <c r="D333" s="84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84"/>
      <c r="B334" s="88"/>
      <c r="C334" s="90"/>
      <c r="D334" s="84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84"/>
      <c r="B335" s="88"/>
      <c r="C335" s="90"/>
      <c r="D335" s="84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84"/>
      <c r="B336" s="88"/>
      <c r="C336" s="90"/>
      <c r="D336" s="84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84"/>
      <c r="B337" s="88"/>
      <c r="C337" s="90"/>
      <c r="D337" s="84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84"/>
      <c r="B338" s="88"/>
      <c r="C338" s="90"/>
      <c r="D338" s="84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84"/>
      <c r="B339" s="88"/>
      <c r="C339" s="90"/>
      <c r="D339" s="84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84"/>
      <c r="B340" s="88"/>
      <c r="C340" s="90"/>
      <c r="D340" s="84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84"/>
      <c r="B341" s="88"/>
      <c r="C341" s="90"/>
      <c r="D341" s="84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84"/>
      <c r="B342" s="88"/>
      <c r="C342" s="90"/>
      <c r="D342" s="84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84"/>
      <c r="B343" s="88"/>
      <c r="C343" s="90"/>
      <c r="D343" s="84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84"/>
      <c r="B344" s="88"/>
      <c r="C344" s="90"/>
      <c r="D344" s="84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84"/>
      <c r="B345" s="88"/>
      <c r="C345" s="90"/>
      <c r="D345" s="84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84"/>
      <c r="B346" s="88"/>
      <c r="C346" s="90"/>
      <c r="D346" s="84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84"/>
      <c r="B347" s="88"/>
      <c r="C347" s="90"/>
      <c r="D347" s="84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84"/>
      <c r="B348" s="88"/>
      <c r="C348" s="90"/>
      <c r="D348" s="84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84"/>
      <c r="B349" s="88"/>
      <c r="C349" s="90"/>
      <c r="D349" s="84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84"/>
      <c r="B350" s="88"/>
      <c r="C350" s="90"/>
      <c r="D350" s="84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84"/>
      <c r="B351" s="88"/>
      <c r="C351" s="90"/>
      <c r="D351" s="84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84"/>
      <c r="B352" s="88"/>
      <c r="C352" s="90"/>
      <c r="D352" s="84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84"/>
      <c r="B353" s="88"/>
      <c r="C353" s="90"/>
      <c r="D353" s="84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84"/>
      <c r="B354" s="88"/>
      <c r="C354" s="90"/>
      <c r="D354" s="84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84"/>
      <c r="B355" s="88"/>
      <c r="C355" s="90"/>
      <c r="D355" s="84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84"/>
      <c r="B356" s="88"/>
      <c r="C356" s="90"/>
      <c r="D356" s="84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84"/>
      <c r="B357" s="88"/>
      <c r="C357" s="90"/>
      <c r="D357" s="84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84"/>
      <c r="B358" s="88"/>
      <c r="C358" s="90"/>
      <c r="D358" s="84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84"/>
      <c r="B359" s="88"/>
      <c r="C359" s="90"/>
      <c r="D359" s="84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84"/>
      <c r="B360" s="88"/>
      <c r="C360" s="90"/>
      <c r="D360" s="84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84"/>
      <c r="B361" s="88"/>
      <c r="C361" s="90"/>
      <c r="D361" s="84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84"/>
      <c r="B362" s="88"/>
      <c r="C362" s="90"/>
      <c r="D362" s="84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84"/>
      <c r="B363" s="88"/>
      <c r="C363" s="90"/>
      <c r="D363" s="84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84"/>
      <c r="B364" s="88"/>
      <c r="C364" s="90"/>
      <c r="D364" s="84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84"/>
      <c r="B365" s="88"/>
      <c r="C365" s="90"/>
      <c r="D365" s="84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84"/>
      <c r="B366" s="88"/>
      <c r="C366" s="90"/>
      <c r="D366" s="84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84"/>
      <c r="B367" s="88"/>
      <c r="C367" s="90"/>
      <c r="D367" s="84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84"/>
      <c r="B368" s="88"/>
      <c r="C368" s="90"/>
      <c r="D368" s="84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84"/>
      <c r="B369" s="88"/>
      <c r="C369" s="90"/>
      <c r="D369" s="84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84"/>
      <c r="B370" s="88"/>
      <c r="C370" s="90"/>
      <c r="D370" s="84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84"/>
      <c r="B371" s="88"/>
      <c r="C371" s="90"/>
      <c r="D371" s="84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84"/>
      <c r="B372" s="88"/>
      <c r="C372" s="90"/>
      <c r="D372" s="84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84"/>
      <c r="B373" s="88"/>
      <c r="C373" s="90"/>
      <c r="D373" s="84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84"/>
      <c r="B374" s="88"/>
      <c r="C374" s="90"/>
      <c r="D374" s="84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84"/>
      <c r="B375" s="88"/>
      <c r="C375" s="90"/>
      <c r="D375" s="84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84"/>
      <c r="B376" s="88"/>
      <c r="C376" s="90"/>
      <c r="D376" s="84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84"/>
      <c r="B377" s="88"/>
      <c r="C377" s="90"/>
      <c r="D377" s="84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84"/>
      <c r="B378" s="88"/>
      <c r="C378" s="90"/>
      <c r="D378" s="84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84"/>
      <c r="B379" s="88"/>
      <c r="C379" s="90"/>
      <c r="D379" s="84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84"/>
      <c r="B380" s="88"/>
      <c r="C380" s="90"/>
      <c r="D380" s="84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84"/>
      <c r="B381" s="88"/>
      <c r="C381" s="90"/>
      <c r="D381" s="84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84"/>
      <c r="B382" s="88"/>
      <c r="C382" s="90"/>
      <c r="D382" s="84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84"/>
      <c r="B383" s="88"/>
      <c r="C383" s="90"/>
      <c r="D383" s="84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84"/>
      <c r="B384" s="88"/>
      <c r="C384" s="90"/>
      <c r="D384" s="84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84"/>
      <c r="B385" s="88"/>
      <c r="C385" s="90"/>
      <c r="D385" s="84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84"/>
      <c r="B386" s="88"/>
      <c r="C386" s="90"/>
      <c r="D386" s="84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84"/>
      <c r="B387" s="88"/>
      <c r="C387" s="90"/>
      <c r="D387" s="84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84"/>
      <c r="B388" s="88"/>
      <c r="C388" s="90"/>
      <c r="D388" s="84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84"/>
      <c r="B389" s="88"/>
      <c r="C389" s="90"/>
      <c r="D389" s="84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84"/>
      <c r="B390" s="88"/>
      <c r="C390" s="90"/>
      <c r="D390" s="84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84"/>
      <c r="B391" s="88"/>
      <c r="C391" s="90"/>
      <c r="D391" s="84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84"/>
      <c r="B392" s="88"/>
      <c r="C392" s="90"/>
      <c r="D392" s="84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84"/>
      <c r="B393" s="88"/>
      <c r="C393" s="90"/>
      <c r="D393" s="84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84"/>
      <c r="B394" s="88"/>
      <c r="C394" s="90"/>
      <c r="D394" s="84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84"/>
      <c r="B395" s="88"/>
      <c r="C395" s="90"/>
      <c r="D395" s="84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84"/>
      <c r="B396" s="88"/>
      <c r="C396" s="90"/>
      <c r="D396" s="84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84"/>
      <c r="B397" s="88"/>
      <c r="C397" s="90"/>
      <c r="D397" s="84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84"/>
      <c r="B398" s="88"/>
      <c r="C398" s="90"/>
      <c r="D398" s="84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84"/>
      <c r="B399" s="88"/>
      <c r="C399" s="90"/>
      <c r="D399" s="84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84"/>
      <c r="B400" s="88"/>
      <c r="C400" s="90"/>
      <c r="D400" s="84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84"/>
      <c r="B401" s="88"/>
      <c r="C401" s="90"/>
      <c r="D401" s="84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84"/>
      <c r="B402" s="88"/>
      <c r="C402" s="90"/>
      <c r="D402" s="84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84"/>
      <c r="B403" s="88"/>
      <c r="C403" s="90"/>
      <c r="D403" s="84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84"/>
      <c r="B404" s="88"/>
      <c r="C404" s="90"/>
      <c r="D404" s="84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84"/>
      <c r="B405" s="88"/>
      <c r="C405" s="90"/>
      <c r="D405" s="84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84"/>
      <c r="B406" s="88"/>
      <c r="C406" s="90"/>
      <c r="D406" s="84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84"/>
      <c r="B407" s="88"/>
      <c r="C407" s="90"/>
      <c r="D407" s="84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84"/>
      <c r="B408" s="88"/>
      <c r="C408" s="90"/>
      <c r="D408" s="84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84"/>
      <c r="B409" s="88"/>
      <c r="C409" s="90"/>
      <c r="D409" s="84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84"/>
      <c r="B410" s="88"/>
      <c r="C410" s="90"/>
      <c r="D410" s="84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84"/>
      <c r="B411" s="88"/>
      <c r="C411" s="90"/>
      <c r="D411" s="84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84"/>
      <c r="B412" s="88"/>
      <c r="C412" s="90"/>
      <c r="D412" s="84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84"/>
      <c r="B413" s="88"/>
      <c r="C413" s="90"/>
      <c r="D413" s="84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84"/>
      <c r="B414" s="88"/>
      <c r="C414" s="90"/>
      <c r="D414" s="84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84"/>
      <c r="B415" s="88"/>
      <c r="C415" s="90"/>
      <c r="D415" s="84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84"/>
      <c r="B416" s="88"/>
      <c r="C416" s="90"/>
      <c r="D416" s="84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84"/>
      <c r="B417" s="88"/>
      <c r="C417" s="90"/>
      <c r="D417" s="84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84"/>
      <c r="B418" s="88"/>
      <c r="C418" s="90"/>
      <c r="D418" s="84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84"/>
      <c r="B419" s="88"/>
      <c r="C419" s="90"/>
      <c r="D419" s="84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84"/>
      <c r="B420" s="88"/>
      <c r="C420" s="90"/>
      <c r="D420" s="84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84"/>
      <c r="B421" s="88"/>
      <c r="C421" s="90"/>
      <c r="D421" s="84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84"/>
      <c r="B422" s="88"/>
      <c r="C422" s="90"/>
      <c r="D422" s="84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84"/>
      <c r="B423" s="88"/>
      <c r="C423" s="90"/>
      <c r="D423" s="84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84"/>
      <c r="B424" s="88"/>
      <c r="C424" s="90"/>
      <c r="D424" s="84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84"/>
      <c r="B425" s="88"/>
      <c r="C425" s="90"/>
      <c r="D425" s="84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84"/>
      <c r="B426" s="88"/>
      <c r="C426" s="90"/>
      <c r="D426" s="84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84"/>
      <c r="B427" s="88"/>
      <c r="C427" s="90"/>
      <c r="D427" s="84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84"/>
      <c r="B428" s="88"/>
      <c r="C428" s="90"/>
      <c r="D428" s="84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84"/>
      <c r="B429" s="88"/>
      <c r="C429" s="90"/>
      <c r="D429" s="84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84"/>
      <c r="B430" s="88"/>
      <c r="C430" s="90"/>
      <c r="D430" s="84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84"/>
      <c r="B431" s="88"/>
      <c r="C431" s="90"/>
      <c r="D431" s="84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84"/>
      <c r="B432" s="88"/>
      <c r="C432" s="90"/>
      <c r="D432" s="84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84"/>
      <c r="B433" s="88"/>
      <c r="C433" s="90"/>
      <c r="D433" s="84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84"/>
      <c r="B434" s="88"/>
      <c r="C434" s="90"/>
      <c r="D434" s="84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84"/>
      <c r="B435" s="88"/>
      <c r="C435" s="90"/>
      <c r="D435" s="84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84"/>
      <c r="B436" s="88"/>
      <c r="C436" s="90"/>
      <c r="D436" s="84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84"/>
      <c r="B437" s="88"/>
      <c r="C437" s="90"/>
      <c r="D437" s="84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84"/>
      <c r="B438" s="88"/>
      <c r="C438" s="90"/>
      <c r="D438" s="84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84"/>
      <c r="B439" s="88"/>
      <c r="C439" s="90"/>
      <c r="D439" s="84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84"/>
      <c r="B440" s="88"/>
      <c r="C440" s="90"/>
      <c r="D440" s="84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84"/>
      <c r="B441" s="88"/>
      <c r="C441" s="90"/>
      <c r="D441" s="84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84"/>
      <c r="B442" s="88"/>
      <c r="C442" s="90"/>
      <c r="D442" s="84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84"/>
      <c r="B443" s="88"/>
      <c r="C443" s="90"/>
      <c r="D443" s="84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84"/>
      <c r="B444" s="88"/>
      <c r="C444" s="90"/>
      <c r="D444" s="84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84"/>
      <c r="B445" s="88"/>
      <c r="C445" s="90"/>
      <c r="D445" s="84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84"/>
      <c r="B446" s="88"/>
      <c r="C446" s="90"/>
      <c r="D446" s="84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84"/>
      <c r="B447" s="88"/>
      <c r="C447" s="90"/>
      <c r="D447" s="84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84"/>
      <c r="B448" s="88"/>
      <c r="C448" s="90"/>
      <c r="D448" s="84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84"/>
      <c r="B449" s="88"/>
      <c r="C449" s="90"/>
      <c r="D449" s="84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84"/>
      <c r="B450" s="88"/>
      <c r="C450" s="90"/>
      <c r="D450" s="84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84"/>
      <c r="B451" s="88"/>
      <c r="C451" s="90"/>
      <c r="D451" s="84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84"/>
      <c r="B452" s="88"/>
      <c r="C452" s="90"/>
      <c r="D452" s="84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84"/>
      <c r="B453" s="88"/>
      <c r="C453" s="90"/>
      <c r="D453" s="84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84"/>
      <c r="B454" s="88"/>
      <c r="C454" s="90"/>
      <c r="D454" s="84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84"/>
      <c r="B455" s="88"/>
      <c r="C455" s="90"/>
      <c r="D455" s="84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84"/>
      <c r="B456" s="88"/>
      <c r="C456" s="90"/>
      <c r="D456" s="84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84"/>
      <c r="B457" s="88"/>
      <c r="C457" s="90"/>
      <c r="D457" s="84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84"/>
      <c r="B458" s="88"/>
      <c r="C458" s="90"/>
      <c r="D458" s="84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84"/>
      <c r="B459" s="88"/>
      <c r="C459" s="90"/>
      <c r="D459" s="84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84"/>
      <c r="B460" s="88"/>
      <c r="C460" s="90"/>
      <c r="D460" s="84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84"/>
      <c r="B461" s="88"/>
      <c r="C461" s="90"/>
      <c r="D461" s="84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84"/>
      <c r="B462" s="88"/>
      <c r="C462" s="90"/>
      <c r="D462" s="84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84"/>
      <c r="B463" s="88"/>
      <c r="C463" s="90"/>
      <c r="D463" s="84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84"/>
      <c r="B464" s="88"/>
      <c r="C464" s="90"/>
      <c r="D464" s="84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84"/>
      <c r="B465" s="88"/>
      <c r="C465" s="90"/>
      <c r="D465" s="84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84"/>
      <c r="B466" s="88"/>
      <c r="C466" s="90"/>
      <c r="D466" s="84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84"/>
      <c r="B467" s="88"/>
      <c r="C467" s="90"/>
      <c r="D467" s="84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84"/>
      <c r="B468" s="88"/>
      <c r="C468" s="90"/>
      <c r="D468" s="84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84"/>
      <c r="B469" s="88"/>
      <c r="C469" s="90"/>
      <c r="D469" s="84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84"/>
      <c r="B470" s="88"/>
      <c r="C470" s="90"/>
      <c r="D470" s="84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84"/>
      <c r="B471" s="88"/>
      <c r="C471" s="90"/>
      <c r="D471" s="84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84"/>
      <c r="B472" s="88"/>
      <c r="C472" s="90"/>
      <c r="D472" s="84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84"/>
      <c r="B473" s="88"/>
      <c r="C473" s="90"/>
      <c r="D473" s="84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84"/>
      <c r="B474" s="88"/>
      <c r="C474" s="90"/>
      <c r="D474" s="84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84"/>
      <c r="B475" s="88"/>
      <c r="C475" s="90"/>
      <c r="D475" s="84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84"/>
      <c r="B476" s="88"/>
      <c r="C476" s="90"/>
      <c r="D476" s="84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84"/>
      <c r="B477" s="88"/>
      <c r="C477" s="90"/>
      <c r="D477" s="84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84"/>
      <c r="B478" s="88"/>
      <c r="C478" s="90"/>
      <c r="D478" s="84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84"/>
      <c r="B479" s="88"/>
      <c r="C479" s="90"/>
      <c r="D479" s="84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84"/>
      <c r="B480" s="88"/>
      <c r="C480" s="90"/>
      <c r="D480" s="84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84"/>
      <c r="B481" s="88"/>
      <c r="C481" s="90"/>
      <c r="D481" s="84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84"/>
      <c r="B482" s="88"/>
      <c r="C482" s="90"/>
      <c r="D482" s="84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84"/>
      <c r="B483" s="88"/>
      <c r="C483" s="90"/>
      <c r="D483" s="84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84"/>
      <c r="B484" s="88"/>
      <c r="C484" s="90"/>
      <c r="D484" s="84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84"/>
      <c r="B485" s="88"/>
      <c r="C485" s="90"/>
      <c r="D485" s="84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84"/>
      <c r="B486" s="88"/>
      <c r="C486" s="90"/>
      <c r="D486" s="84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84"/>
      <c r="B487" s="88"/>
      <c r="C487" s="90"/>
      <c r="D487" s="84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84"/>
      <c r="B488" s="88"/>
      <c r="C488" s="90"/>
      <c r="D488" s="84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84"/>
      <c r="B489" s="88"/>
      <c r="C489" s="90"/>
      <c r="D489" s="84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84"/>
      <c r="B490" s="88"/>
      <c r="C490" s="90"/>
      <c r="D490" s="84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84"/>
      <c r="B491" s="88"/>
      <c r="C491" s="90"/>
      <c r="D491" s="84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84"/>
      <c r="B492" s="88"/>
      <c r="C492" s="90"/>
      <c r="D492" s="84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84"/>
      <c r="B493" s="88"/>
      <c r="C493" s="90"/>
      <c r="D493" s="84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84"/>
      <c r="B494" s="88"/>
      <c r="C494" s="90"/>
      <c r="D494" s="84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84"/>
      <c r="B495" s="88"/>
      <c r="C495" s="90"/>
      <c r="D495" s="84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84"/>
      <c r="B496" s="88"/>
      <c r="C496" s="90"/>
      <c r="D496" s="84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84"/>
      <c r="B497" s="88"/>
      <c r="C497" s="90"/>
      <c r="D497" s="84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84"/>
      <c r="B498" s="88"/>
      <c r="C498" s="90"/>
      <c r="D498" s="84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84"/>
      <c r="B499" s="88"/>
      <c r="C499" s="90"/>
      <c r="D499" s="84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84"/>
      <c r="B500" s="88"/>
      <c r="C500" s="90"/>
      <c r="D500" s="84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84"/>
      <c r="B501" s="88"/>
      <c r="C501" s="90"/>
      <c r="D501" s="84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84"/>
      <c r="B502" s="88"/>
      <c r="C502" s="90"/>
      <c r="D502" s="84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84"/>
      <c r="B503" s="88"/>
      <c r="C503" s="90"/>
      <c r="D503" s="84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84"/>
      <c r="B504" s="88"/>
      <c r="C504" s="90"/>
      <c r="D504" s="84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84"/>
      <c r="B505" s="88"/>
      <c r="C505" s="90"/>
      <c r="D505" s="84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84"/>
      <c r="B506" s="88"/>
      <c r="C506" s="90"/>
      <c r="D506" s="84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84"/>
      <c r="B507" s="88"/>
      <c r="C507" s="90"/>
      <c r="D507" s="84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84"/>
      <c r="B508" s="88"/>
      <c r="C508" s="90"/>
      <c r="D508" s="84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84"/>
      <c r="B509" s="88"/>
      <c r="C509" s="90"/>
      <c r="D509" s="84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84"/>
      <c r="B510" s="88"/>
      <c r="C510" s="90"/>
      <c r="D510" s="84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84"/>
      <c r="B511" s="88"/>
      <c r="C511" s="90"/>
      <c r="D511" s="84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84"/>
      <c r="B512" s="88"/>
      <c r="C512" s="90"/>
      <c r="D512" s="84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84"/>
      <c r="B513" s="88"/>
      <c r="C513" s="90"/>
      <c r="D513" s="84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84"/>
      <c r="B514" s="88"/>
      <c r="C514" s="90"/>
      <c r="D514" s="84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84"/>
      <c r="B515" s="88"/>
      <c r="C515" s="90"/>
      <c r="D515" s="84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84"/>
      <c r="B516" s="88"/>
      <c r="C516" s="90"/>
      <c r="D516" s="84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84"/>
      <c r="B517" s="88"/>
      <c r="C517" s="90"/>
      <c r="D517" s="84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84"/>
      <c r="B518" s="88"/>
      <c r="C518" s="90"/>
      <c r="D518" s="84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84"/>
      <c r="B519" s="88"/>
      <c r="C519" s="90"/>
      <c r="D519" s="84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84"/>
      <c r="B520" s="88"/>
      <c r="C520" s="90"/>
      <c r="D520" s="84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84"/>
      <c r="B521" s="88"/>
      <c r="C521" s="90"/>
      <c r="D521" s="84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84"/>
      <c r="B522" s="88"/>
      <c r="C522" s="90"/>
      <c r="D522" s="84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84"/>
      <c r="B523" s="88"/>
      <c r="C523" s="90"/>
      <c r="D523" s="84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84"/>
      <c r="B524" s="88"/>
      <c r="C524" s="90"/>
      <c r="D524" s="84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84"/>
      <c r="B525" s="88"/>
      <c r="C525" s="90"/>
      <c r="D525" s="84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84"/>
      <c r="B526" s="88"/>
      <c r="C526" s="90"/>
      <c r="D526" s="84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84"/>
      <c r="B527" s="88"/>
      <c r="C527" s="90"/>
      <c r="D527" s="84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84"/>
      <c r="B528" s="88"/>
      <c r="C528" s="90"/>
      <c r="D528" s="84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84"/>
      <c r="B529" s="88"/>
      <c r="C529" s="90"/>
      <c r="D529" s="84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84"/>
      <c r="B530" s="88"/>
      <c r="C530" s="90"/>
      <c r="D530" s="84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84"/>
      <c r="B531" s="88"/>
      <c r="C531" s="90"/>
      <c r="D531" s="84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84"/>
      <c r="B532" s="88"/>
      <c r="C532" s="90"/>
      <c r="D532" s="84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84"/>
      <c r="B533" s="88"/>
      <c r="C533" s="90"/>
      <c r="D533" s="84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84"/>
      <c r="B534" s="88"/>
      <c r="C534" s="90"/>
      <c r="D534" s="84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84"/>
      <c r="B535" s="88"/>
      <c r="C535" s="90"/>
      <c r="D535" s="84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84"/>
      <c r="B536" s="88"/>
      <c r="C536" s="90"/>
      <c r="D536" s="84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84"/>
      <c r="B537" s="88"/>
      <c r="C537" s="90"/>
      <c r="D537" s="84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84"/>
      <c r="B538" s="88"/>
      <c r="C538" s="90"/>
      <c r="D538" s="84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84"/>
      <c r="B539" s="88"/>
      <c r="C539" s="90"/>
      <c r="D539" s="84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84"/>
      <c r="B540" s="88"/>
      <c r="C540" s="90"/>
      <c r="D540" s="84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84"/>
      <c r="B541" s="88"/>
      <c r="C541" s="90"/>
      <c r="D541" s="84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84"/>
      <c r="B542" s="88"/>
      <c r="C542" s="90"/>
      <c r="D542" s="84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84"/>
      <c r="B543" s="88"/>
      <c r="C543" s="90"/>
      <c r="D543" s="84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84"/>
      <c r="B544" s="88"/>
      <c r="C544" s="90"/>
      <c r="D544" s="84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84"/>
      <c r="B545" s="88"/>
      <c r="C545" s="90"/>
      <c r="D545" s="84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84"/>
      <c r="B546" s="88"/>
      <c r="C546" s="90"/>
      <c r="D546" s="84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84"/>
      <c r="B547" s="88"/>
      <c r="C547" s="90"/>
      <c r="D547" s="84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84"/>
      <c r="B548" s="88"/>
      <c r="C548" s="90"/>
      <c r="D548" s="84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84"/>
      <c r="B549" s="88"/>
      <c r="C549" s="90"/>
      <c r="D549" s="84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84"/>
      <c r="B550" s="88"/>
      <c r="C550" s="90"/>
      <c r="D550" s="84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84"/>
      <c r="B551" s="88"/>
      <c r="C551" s="90"/>
      <c r="D551" s="84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84"/>
      <c r="B552" s="88"/>
      <c r="C552" s="90"/>
      <c r="D552" s="84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84"/>
      <c r="B553" s="88"/>
      <c r="C553" s="90"/>
      <c r="D553" s="84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84"/>
      <c r="B554" s="88"/>
      <c r="C554" s="90"/>
      <c r="D554" s="84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84"/>
      <c r="B555" s="88"/>
      <c r="C555" s="90"/>
      <c r="D555" s="84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84"/>
      <c r="B556" s="88"/>
      <c r="C556" s="90"/>
      <c r="D556" s="84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84"/>
      <c r="B557" s="88"/>
      <c r="C557" s="90"/>
      <c r="D557" s="84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84"/>
      <c r="B558" s="88"/>
      <c r="C558" s="90"/>
      <c r="D558" s="84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84"/>
      <c r="B559" s="88"/>
      <c r="C559" s="90"/>
      <c r="D559" s="84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84"/>
      <c r="B560" s="88"/>
      <c r="C560" s="90"/>
      <c r="D560" s="84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84"/>
      <c r="B561" s="88"/>
      <c r="C561" s="90"/>
      <c r="D561" s="84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84"/>
      <c r="B562" s="88"/>
      <c r="C562" s="90"/>
      <c r="D562" s="84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84"/>
      <c r="B563" s="88"/>
      <c r="C563" s="90"/>
      <c r="D563" s="84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84"/>
      <c r="B564" s="88"/>
      <c r="C564" s="90"/>
      <c r="D564" s="84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84"/>
      <c r="B565" s="88"/>
      <c r="C565" s="90"/>
      <c r="D565" s="84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84"/>
      <c r="B566" s="88"/>
      <c r="C566" s="90"/>
      <c r="D566" s="84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84"/>
      <c r="B567" s="88"/>
      <c r="C567" s="90"/>
      <c r="D567" s="84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84"/>
      <c r="B568" s="88"/>
      <c r="C568" s="90"/>
      <c r="D568" s="84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84"/>
      <c r="B569" s="88"/>
      <c r="C569" s="90"/>
      <c r="D569" s="84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84"/>
      <c r="B570" s="88"/>
      <c r="C570" s="90"/>
      <c r="D570" s="84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84"/>
      <c r="B571" s="88"/>
      <c r="C571" s="90"/>
      <c r="D571" s="84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84"/>
      <c r="B572" s="88"/>
      <c r="C572" s="90"/>
      <c r="D572" s="84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84"/>
      <c r="B573" s="88"/>
      <c r="C573" s="90"/>
      <c r="D573" s="84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84"/>
      <c r="B574" s="88"/>
      <c r="C574" s="90"/>
      <c r="D574" s="84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84"/>
      <c r="B575" s="88"/>
      <c r="C575" s="90"/>
      <c r="D575" s="84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84"/>
      <c r="B576" s="88"/>
      <c r="C576" s="90"/>
      <c r="D576" s="84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84"/>
      <c r="B577" s="88"/>
      <c r="C577" s="90"/>
      <c r="D577" s="84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84"/>
      <c r="B578" s="88"/>
      <c r="C578" s="90"/>
      <c r="D578" s="84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84"/>
      <c r="B579" s="88"/>
      <c r="C579" s="90"/>
      <c r="D579" s="84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84"/>
      <c r="B580" s="88"/>
      <c r="C580" s="90"/>
      <c r="D580" s="84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84"/>
      <c r="B581" s="88"/>
      <c r="C581" s="90"/>
      <c r="D581" s="84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84"/>
      <c r="B582" s="88"/>
      <c r="C582" s="90"/>
      <c r="D582" s="84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84"/>
      <c r="B583" s="88"/>
      <c r="C583" s="90"/>
      <c r="D583" s="84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84"/>
      <c r="B584" s="88"/>
      <c r="C584" s="90"/>
      <c r="D584" s="84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84"/>
      <c r="B585" s="88"/>
      <c r="C585" s="90"/>
      <c r="D585" s="84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84"/>
      <c r="B586" s="88"/>
      <c r="C586" s="90"/>
      <c r="D586" s="84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84"/>
      <c r="B587" s="88"/>
      <c r="C587" s="90"/>
      <c r="D587" s="84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84"/>
      <c r="B588" s="88"/>
      <c r="C588" s="90"/>
      <c r="D588" s="84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84"/>
      <c r="B589" s="88"/>
      <c r="C589" s="90"/>
      <c r="D589" s="84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84"/>
      <c r="B590" s="88"/>
      <c r="C590" s="90"/>
      <c r="D590" s="84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84"/>
      <c r="B591" s="88"/>
      <c r="C591" s="90"/>
      <c r="D591" s="84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84"/>
      <c r="B592" s="88"/>
      <c r="C592" s="90"/>
      <c r="D592" s="84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84"/>
      <c r="B593" s="88"/>
      <c r="C593" s="90"/>
      <c r="D593" s="84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84"/>
      <c r="B594" s="88"/>
      <c r="C594" s="90"/>
      <c r="D594" s="84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84"/>
      <c r="B595" s="88"/>
      <c r="C595" s="90"/>
      <c r="D595" s="84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84"/>
      <c r="B596" s="88"/>
      <c r="C596" s="90"/>
      <c r="D596" s="84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84"/>
      <c r="B597" s="88"/>
      <c r="C597" s="90"/>
      <c r="D597" s="84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84"/>
      <c r="B598" s="88"/>
      <c r="C598" s="90"/>
      <c r="D598" s="84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84"/>
      <c r="B599" s="88"/>
      <c r="C599" s="90"/>
      <c r="D599" s="84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84"/>
      <c r="B600" s="88"/>
      <c r="C600" s="90"/>
      <c r="D600" s="84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84"/>
      <c r="B601" s="88"/>
      <c r="C601" s="90"/>
      <c r="D601" s="84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84"/>
      <c r="B602" s="88"/>
      <c r="C602" s="90"/>
      <c r="D602" s="84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84"/>
      <c r="B603" s="88"/>
      <c r="C603" s="90"/>
      <c r="D603" s="84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84"/>
      <c r="B604" s="88"/>
      <c r="C604" s="90"/>
      <c r="D604" s="84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84"/>
      <c r="B605" s="88"/>
      <c r="C605" s="90"/>
      <c r="D605" s="84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84"/>
      <c r="B606" s="88"/>
      <c r="C606" s="90"/>
      <c r="D606" s="84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84"/>
      <c r="B607" s="88"/>
      <c r="C607" s="90"/>
      <c r="D607" s="84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84"/>
      <c r="B608" s="88"/>
      <c r="C608" s="90"/>
      <c r="D608" s="84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84"/>
      <c r="B609" s="88"/>
      <c r="C609" s="90"/>
      <c r="D609" s="84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84"/>
      <c r="B610" s="88"/>
      <c r="C610" s="90"/>
      <c r="D610" s="84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84"/>
      <c r="B611" s="88"/>
      <c r="C611" s="90"/>
      <c r="D611" s="84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84"/>
      <c r="B612" s="88"/>
      <c r="C612" s="90"/>
      <c r="D612" s="84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84"/>
      <c r="B613" s="88"/>
      <c r="C613" s="90"/>
      <c r="D613" s="84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84"/>
      <c r="B614" s="88"/>
      <c r="C614" s="90"/>
      <c r="D614" s="84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84"/>
      <c r="B615" s="88"/>
      <c r="C615" s="90"/>
      <c r="D615" s="84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84"/>
      <c r="B616" s="88"/>
      <c r="C616" s="90"/>
      <c r="D616" s="84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84"/>
      <c r="B617" s="88"/>
      <c r="C617" s="90"/>
      <c r="D617" s="84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84"/>
      <c r="B618" s="88"/>
      <c r="C618" s="90"/>
      <c r="D618" s="84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84"/>
      <c r="B619" s="88"/>
      <c r="C619" s="90"/>
      <c r="D619" s="84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84"/>
      <c r="B620" s="88"/>
      <c r="C620" s="90"/>
      <c r="D620" s="84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84"/>
      <c r="B621" s="88"/>
      <c r="C621" s="90"/>
      <c r="D621" s="84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84"/>
      <c r="B622" s="88"/>
      <c r="C622" s="90"/>
      <c r="D622" s="84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84"/>
      <c r="B623" s="88"/>
      <c r="C623" s="90"/>
      <c r="D623" s="84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84"/>
      <c r="B624" s="88"/>
      <c r="C624" s="90"/>
      <c r="D624" s="84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84"/>
      <c r="B625" s="88"/>
      <c r="C625" s="90"/>
      <c r="D625" s="84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84"/>
      <c r="B626" s="88"/>
      <c r="C626" s="90"/>
      <c r="D626" s="84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84"/>
      <c r="B627" s="88"/>
      <c r="C627" s="90"/>
      <c r="D627" s="84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84"/>
      <c r="B628" s="88"/>
      <c r="C628" s="90"/>
      <c r="D628" s="84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84"/>
      <c r="B629" s="88"/>
      <c r="C629" s="90"/>
      <c r="D629" s="84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84"/>
      <c r="B630" s="88"/>
      <c r="C630" s="90"/>
      <c r="D630" s="84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84"/>
      <c r="B631" s="88"/>
      <c r="C631" s="90"/>
      <c r="D631" s="84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84"/>
      <c r="B632" s="88"/>
      <c r="C632" s="90"/>
      <c r="D632" s="84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84"/>
      <c r="B633" s="88"/>
      <c r="C633" s="90"/>
      <c r="D633" s="84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84"/>
      <c r="B634" s="88"/>
      <c r="C634" s="90"/>
      <c r="D634" s="84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84"/>
      <c r="B635" s="88"/>
      <c r="C635" s="90"/>
      <c r="D635" s="84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84"/>
      <c r="B636" s="88"/>
      <c r="C636" s="90"/>
      <c r="D636" s="84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84"/>
      <c r="B637" s="88"/>
      <c r="C637" s="90"/>
      <c r="D637" s="84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84"/>
      <c r="B638" s="88"/>
      <c r="C638" s="90"/>
      <c r="D638" s="84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84"/>
      <c r="B639" s="88"/>
      <c r="C639" s="90"/>
      <c r="D639" s="84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84"/>
      <c r="B640" s="88"/>
      <c r="C640" s="90"/>
      <c r="D640" s="84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84"/>
      <c r="B641" s="88"/>
      <c r="C641" s="90"/>
      <c r="D641" s="84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84"/>
      <c r="B642" s="88"/>
      <c r="C642" s="90"/>
      <c r="D642" s="84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84"/>
      <c r="B643" s="88"/>
      <c r="C643" s="90"/>
      <c r="D643" s="84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84"/>
      <c r="B644" s="88"/>
      <c r="C644" s="90"/>
      <c r="D644" s="84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84"/>
      <c r="B645" s="88"/>
      <c r="C645" s="90"/>
      <c r="D645" s="84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84"/>
      <c r="B646" s="88"/>
      <c r="C646" s="90"/>
      <c r="D646" s="84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84"/>
      <c r="B647" s="88"/>
      <c r="C647" s="90"/>
      <c r="D647" s="84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84"/>
      <c r="B648" s="88"/>
      <c r="C648" s="90"/>
      <c r="D648" s="84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84"/>
      <c r="B649" s="88"/>
      <c r="C649" s="90"/>
      <c r="D649" s="84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84"/>
      <c r="B650" s="88"/>
      <c r="C650" s="90"/>
      <c r="D650" s="84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84"/>
      <c r="B651" s="88"/>
      <c r="C651" s="90"/>
      <c r="D651" s="84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84"/>
      <c r="B652" s="88"/>
      <c r="C652" s="90"/>
      <c r="D652" s="84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84"/>
      <c r="B653" s="88"/>
      <c r="C653" s="90"/>
      <c r="D653" s="84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84"/>
      <c r="B654" s="88"/>
      <c r="C654" s="90"/>
      <c r="D654" s="84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84"/>
      <c r="B655" s="88"/>
      <c r="C655" s="90"/>
      <c r="D655" s="84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84"/>
      <c r="B656" s="88"/>
      <c r="C656" s="90"/>
      <c r="D656" s="84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84"/>
      <c r="B657" s="88"/>
      <c r="C657" s="90"/>
      <c r="D657" s="84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84"/>
      <c r="B658" s="88"/>
      <c r="C658" s="90"/>
      <c r="D658" s="84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84"/>
      <c r="B659" s="88"/>
      <c r="C659" s="90"/>
      <c r="D659" s="84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84"/>
      <c r="B660" s="88"/>
      <c r="C660" s="90"/>
      <c r="D660" s="84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84"/>
      <c r="B661" s="88"/>
      <c r="C661" s="90"/>
      <c r="D661" s="84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84"/>
      <c r="B662" s="88"/>
      <c r="C662" s="90"/>
      <c r="D662" s="84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84"/>
      <c r="B663" s="88"/>
      <c r="C663" s="90"/>
      <c r="D663" s="84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84"/>
      <c r="B664" s="88"/>
      <c r="C664" s="90"/>
      <c r="D664" s="84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84"/>
      <c r="B665" s="88"/>
      <c r="C665" s="90"/>
      <c r="D665" s="84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84"/>
      <c r="B666" s="88"/>
      <c r="C666" s="90"/>
      <c r="D666" s="84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84"/>
      <c r="B667" s="88"/>
      <c r="C667" s="90"/>
      <c r="D667" s="84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84"/>
      <c r="B668" s="88"/>
      <c r="C668" s="90"/>
      <c r="D668" s="84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84"/>
      <c r="B669" s="88"/>
      <c r="C669" s="90"/>
      <c r="D669" s="84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84"/>
      <c r="B670" s="88"/>
      <c r="C670" s="90"/>
      <c r="D670" s="84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84"/>
      <c r="B671" s="88"/>
      <c r="C671" s="90"/>
      <c r="D671" s="84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84"/>
      <c r="B672" s="88"/>
      <c r="C672" s="90"/>
      <c r="D672" s="84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84"/>
      <c r="B673" s="88"/>
      <c r="C673" s="90"/>
      <c r="D673" s="84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84"/>
      <c r="B674" s="88"/>
      <c r="C674" s="90"/>
      <c r="D674" s="84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84"/>
      <c r="B675" s="88"/>
      <c r="C675" s="90"/>
      <c r="D675" s="84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84"/>
      <c r="B676" s="88"/>
      <c r="C676" s="90"/>
      <c r="D676" s="84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84"/>
      <c r="B677" s="88"/>
      <c r="C677" s="90"/>
      <c r="D677" s="84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84"/>
      <c r="B678" s="88"/>
      <c r="C678" s="90"/>
      <c r="D678" s="84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84"/>
      <c r="B679" s="88"/>
      <c r="C679" s="90"/>
      <c r="D679" s="84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84"/>
      <c r="B680" s="88"/>
      <c r="C680" s="90"/>
      <c r="D680" s="84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84"/>
      <c r="B681" s="88"/>
      <c r="C681" s="90"/>
      <c r="D681" s="84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84"/>
      <c r="B682" s="88"/>
      <c r="C682" s="90"/>
      <c r="D682" s="84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84"/>
      <c r="B683" s="88"/>
      <c r="C683" s="90"/>
      <c r="D683" s="84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84"/>
      <c r="B684" s="88"/>
      <c r="C684" s="90"/>
      <c r="D684" s="84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84"/>
      <c r="B685" s="88"/>
      <c r="C685" s="90"/>
      <c r="D685" s="84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84"/>
      <c r="B686" s="88"/>
      <c r="C686" s="90"/>
      <c r="D686" s="84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84"/>
      <c r="B687" s="88"/>
      <c r="C687" s="90"/>
      <c r="D687" s="84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84"/>
      <c r="B688" s="88"/>
      <c r="C688" s="90"/>
      <c r="D688" s="84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84"/>
      <c r="B689" s="88"/>
      <c r="C689" s="90"/>
      <c r="D689" s="84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84"/>
      <c r="B690" s="88"/>
      <c r="C690" s="90"/>
      <c r="D690" s="84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84"/>
      <c r="B691" s="88"/>
      <c r="C691" s="90"/>
      <c r="D691" s="84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84"/>
      <c r="B692" s="88"/>
      <c r="C692" s="90"/>
      <c r="D692" s="84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84"/>
      <c r="B693" s="88"/>
      <c r="C693" s="90"/>
      <c r="D693" s="84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84"/>
      <c r="B694" s="88"/>
      <c r="C694" s="90"/>
      <c r="D694" s="84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84"/>
      <c r="B695" s="88"/>
      <c r="C695" s="90"/>
      <c r="D695" s="84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84"/>
      <c r="B696" s="88"/>
      <c r="C696" s="90"/>
      <c r="D696" s="84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84"/>
      <c r="B697" s="88"/>
      <c r="C697" s="90"/>
      <c r="D697" s="84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84"/>
      <c r="B698" s="88"/>
      <c r="C698" s="90"/>
      <c r="D698" s="84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84"/>
      <c r="B699" s="88"/>
      <c r="C699" s="90"/>
      <c r="D699" s="84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84"/>
      <c r="B700" s="88"/>
      <c r="C700" s="90"/>
      <c r="D700" s="84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84"/>
      <c r="B701" s="88"/>
      <c r="C701" s="90"/>
      <c r="D701" s="84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84"/>
      <c r="B702" s="88"/>
      <c r="C702" s="90"/>
      <c r="D702" s="84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84"/>
      <c r="B703" s="88"/>
      <c r="C703" s="90"/>
      <c r="D703" s="84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84"/>
      <c r="B704" s="88"/>
      <c r="C704" s="90"/>
      <c r="D704" s="84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84"/>
      <c r="B705" s="88"/>
      <c r="C705" s="90"/>
      <c r="D705" s="84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84"/>
      <c r="B706" s="88"/>
      <c r="C706" s="90"/>
      <c r="D706" s="84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84"/>
      <c r="B707" s="88"/>
      <c r="C707" s="90"/>
      <c r="D707" s="84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84"/>
      <c r="B708" s="88"/>
      <c r="C708" s="90"/>
      <c r="D708" s="84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84"/>
      <c r="B709" s="88"/>
      <c r="C709" s="90"/>
      <c r="D709" s="84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84"/>
      <c r="B710" s="88"/>
      <c r="C710" s="90"/>
      <c r="D710" s="84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84"/>
      <c r="B711" s="88"/>
      <c r="C711" s="90"/>
      <c r="D711" s="84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84"/>
      <c r="B712" s="88"/>
      <c r="C712" s="90"/>
      <c r="D712" s="84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84"/>
      <c r="B713" s="88"/>
      <c r="C713" s="90"/>
      <c r="D713" s="84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84"/>
      <c r="B714" s="88"/>
      <c r="C714" s="90"/>
      <c r="D714" s="84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84"/>
      <c r="B715" s="88"/>
      <c r="C715" s="90"/>
      <c r="D715" s="84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84"/>
      <c r="B716" s="88"/>
      <c r="C716" s="90"/>
      <c r="D716" s="84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84"/>
      <c r="B717" s="88"/>
      <c r="C717" s="90"/>
      <c r="D717" s="84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84"/>
      <c r="B718" s="88"/>
      <c r="C718" s="90"/>
      <c r="D718" s="84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84"/>
      <c r="B719" s="88"/>
      <c r="C719" s="90"/>
      <c r="D719" s="84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84"/>
      <c r="B720" s="88"/>
      <c r="C720" s="90"/>
      <c r="D720" s="84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84"/>
      <c r="B721" s="88"/>
      <c r="C721" s="90"/>
      <c r="D721" s="84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84"/>
      <c r="B722" s="88"/>
      <c r="C722" s="90"/>
      <c r="D722" s="84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84"/>
      <c r="B723" s="88"/>
      <c r="C723" s="90"/>
      <c r="D723" s="84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84"/>
      <c r="B724" s="88"/>
      <c r="C724" s="90"/>
      <c r="D724" s="84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84"/>
      <c r="B725" s="88"/>
      <c r="C725" s="90"/>
      <c r="D725" s="84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84"/>
      <c r="B726" s="88"/>
      <c r="C726" s="90"/>
      <c r="D726" s="84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84"/>
      <c r="B727" s="88"/>
      <c r="C727" s="90"/>
      <c r="D727" s="84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84"/>
      <c r="B728" s="88"/>
      <c r="C728" s="90"/>
      <c r="D728" s="84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84"/>
      <c r="B729" s="88"/>
      <c r="C729" s="90"/>
      <c r="D729" s="84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84"/>
      <c r="B730" s="88"/>
      <c r="C730" s="90"/>
      <c r="D730" s="84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84"/>
      <c r="B731" s="88"/>
      <c r="C731" s="90"/>
      <c r="D731" s="84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84"/>
      <c r="B732" s="88"/>
      <c r="C732" s="90"/>
      <c r="D732" s="84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84"/>
      <c r="B733" s="88"/>
      <c r="C733" s="90"/>
      <c r="D733" s="84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84"/>
      <c r="B734" s="88"/>
      <c r="C734" s="90"/>
      <c r="D734" s="84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84"/>
      <c r="B735" s="88"/>
      <c r="C735" s="90"/>
      <c r="D735" s="84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84"/>
      <c r="B736" s="88"/>
      <c r="C736" s="90"/>
      <c r="D736" s="84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84"/>
      <c r="B737" s="88"/>
      <c r="C737" s="90"/>
      <c r="D737" s="84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84"/>
      <c r="B738" s="88"/>
      <c r="C738" s="90"/>
      <c r="D738" s="84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84"/>
      <c r="B739" s="88"/>
      <c r="C739" s="90"/>
      <c r="D739" s="84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84"/>
      <c r="B740" s="88"/>
      <c r="C740" s="90"/>
      <c r="D740" s="84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84"/>
      <c r="B741" s="88"/>
      <c r="C741" s="90"/>
      <c r="D741" s="84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84"/>
      <c r="B742" s="88"/>
      <c r="C742" s="90"/>
      <c r="D742" s="84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84"/>
      <c r="B743" s="88"/>
      <c r="C743" s="90"/>
      <c r="D743" s="84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84"/>
      <c r="B744" s="88"/>
      <c r="C744" s="90"/>
      <c r="D744" s="84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84"/>
      <c r="B745" s="88"/>
      <c r="C745" s="90"/>
      <c r="D745" s="84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84"/>
      <c r="B746" s="88"/>
      <c r="C746" s="90"/>
      <c r="D746" s="84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84"/>
      <c r="B747" s="88"/>
      <c r="C747" s="90"/>
      <c r="D747" s="84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84"/>
      <c r="B748" s="88"/>
      <c r="C748" s="90"/>
      <c r="D748" s="84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84"/>
      <c r="B749" s="88"/>
      <c r="C749" s="90"/>
      <c r="D749" s="84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84"/>
      <c r="B750" s="88"/>
      <c r="C750" s="90"/>
      <c r="D750" s="84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84"/>
      <c r="B751" s="88"/>
      <c r="C751" s="90"/>
      <c r="D751" s="84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84"/>
      <c r="B752" s="88"/>
      <c r="C752" s="90"/>
      <c r="D752" s="84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84"/>
      <c r="B753" s="88"/>
      <c r="C753" s="90"/>
      <c r="D753" s="84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84"/>
      <c r="B754" s="88"/>
      <c r="C754" s="90"/>
      <c r="D754" s="84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84"/>
      <c r="B755" s="88"/>
      <c r="C755" s="90"/>
      <c r="D755" s="84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84"/>
      <c r="B756" s="88"/>
      <c r="C756" s="90"/>
      <c r="D756" s="84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84"/>
      <c r="B757" s="88"/>
      <c r="C757" s="90"/>
      <c r="D757" s="84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84"/>
      <c r="B758" s="88"/>
      <c r="C758" s="90"/>
      <c r="D758" s="84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84"/>
      <c r="B759" s="88"/>
      <c r="C759" s="90"/>
      <c r="D759" s="84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84"/>
      <c r="B760" s="88"/>
      <c r="C760" s="90"/>
      <c r="D760" s="84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84"/>
      <c r="B761" s="88"/>
      <c r="C761" s="90"/>
      <c r="D761" s="84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84"/>
      <c r="B762" s="88"/>
      <c r="C762" s="90"/>
      <c r="D762" s="84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84"/>
      <c r="B763" s="88"/>
      <c r="C763" s="90"/>
      <c r="D763" s="84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84"/>
      <c r="B764" s="88"/>
      <c r="C764" s="90"/>
      <c r="D764" s="84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84"/>
      <c r="B765" s="88"/>
      <c r="C765" s="90"/>
      <c r="D765" s="84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84"/>
      <c r="B766" s="88"/>
      <c r="C766" s="90"/>
      <c r="D766" s="84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84"/>
      <c r="B767" s="88"/>
      <c r="C767" s="90"/>
      <c r="D767" s="84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84"/>
      <c r="B768" s="88"/>
      <c r="C768" s="90"/>
      <c r="D768" s="84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84"/>
      <c r="B769" s="88"/>
      <c r="C769" s="90"/>
      <c r="D769" s="84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84"/>
      <c r="B770" s="88"/>
      <c r="C770" s="90"/>
      <c r="D770" s="84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84"/>
      <c r="B771" s="88"/>
      <c r="C771" s="90"/>
      <c r="D771" s="84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84"/>
      <c r="B772" s="88"/>
      <c r="C772" s="90"/>
      <c r="D772" s="84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84"/>
      <c r="B773" s="88"/>
      <c r="C773" s="90"/>
      <c r="D773" s="84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84"/>
      <c r="B774" s="88"/>
      <c r="C774" s="90"/>
      <c r="D774" s="84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84"/>
      <c r="B775" s="88"/>
      <c r="C775" s="90"/>
      <c r="D775" s="84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84"/>
      <c r="B776" s="88"/>
      <c r="C776" s="90"/>
      <c r="D776" s="84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84"/>
      <c r="B777" s="88"/>
      <c r="C777" s="90"/>
      <c r="D777" s="84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84"/>
      <c r="B778" s="88"/>
      <c r="C778" s="90"/>
      <c r="D778" s="84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84"/>
      <c r="B779" s="88"/>
      <c r="C779" s="90"/>
      <c r="D779" s="84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84"/>
      <c r="B780" s="88"/>
      <c r="C780" s="90"/>
      <c r="D780" s="84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84"/>
      <c r="B781" s="88"/>
      <c r="C781" s="90"/>
      <c r="D781" s="84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84"/>
      <c r="B782" s="88"/>
      <c r="C782" s="90"/>
      <c r="D782" s="84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84"/>
      <c r="B783" s="88"/>
      <c r="C783" s="90"/>
      <c r="D783" s="84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84"/>
      <c r="B784" s="88"/>
      <c r="C784" s="90"/>
      <c r="D784" s="84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84"/>
      <c r="B785" s="88"/>
      <c r="C785" s="90"/>
      <c r="D785" s="84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84"/>
      <c r="B786" s="88"/>
      <c r="C786" s="90"/>
      <c r="D786" s="84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84"/>
      <c r="B787" s="88"/>
      <c r="C787" s="90"/>
      <c r="D787" s="84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84"/>
      <c r="B788" s="88"/>
      <c r="C788" s="90"/>
      <c r="D788" s="84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84"/>
      <c r="B789" s="88"/>
      <c r="C789" s="90"/>
      <c r="D789" s="84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84"/>
      <c r="B790" s="88"/>
      <c r="C790" s="90"/>
      <c r="D790" s="84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84"/>
      <c r="B791" s="88"/>
      <c r="C791" s="90"/>
      <c r="D791" s="84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84"/>
      <c r="B792" s="88"/>
      <c r="C792" s="90"/>
      <c r="D792" s="84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84"/>
      <c r="B793" s="88"/>
      <c r="C793" s="90"/>
      <c r="D793" s="84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84"/>
      <c r="B794" s="88"/>
      <c r="C794" s="90"/>
      <c r="D794" s="84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84"/>
      <c r="B795" s="88"/>
      <c r="C795" s="90"/>
      <c r="D795" s="84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84"/>
      <c r="B796" s="88"/>
      <c r="C796" s="90"/>
      <c r="D796" s="84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84"/>
      <c r="B797" s="88"/>
      <c r="C797" s="90"/>
      <c r="D797" s="84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84"/>
      <c r="B798" s="88"/>
      <c r="C798" s="90"/>
      <c r="D798" s="84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84"/>
      <c r="B799" s="88"/>
      <c r="C799" s="90"/>
      <c r="D799" s="84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84"/>
      <c r="B800" s="88"/>
      <c r="C800" s="90"/>
      <c r="D800" s="84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84"/>
      <c r="B801" s="88"/>
      <c r="C801" s="90"/>
      <c r="D801" s="84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84"/>
      <c r="B802" s="88"/>
      <c r="C802" s="90"/>
      <c r="D802" s="84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84"/>
      <c r="B803" s="88"/>
      <c r="C803" s="90"/>
      <c r="D803" s="84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84"/>
      <c r="B804" s="88"/>
      <c r="C804" s="90"/>
      <c r="D804" s="84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84"/>
      <c r="B805" s="88"/>
      <c r="C805" s="90"/>
      <c r="D805" s="84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84"/>
      <c r="B806" s="88"/>
      <c r="C806" s="90"/>
      <c r="D806" s="84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84"/>
      <c r="B807" s="88"/>
      <c r="C807" s="90"/>
      <c r="D807" s="84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84"/>
      <c r="B808" s="88"/>
      <c r="C808" s="90"/>
      <c r="D808" s="84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84"/>
      <c r="B809" s="88"/>
      <c r="C809" s="90"/>
      <c r="D809" s="84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84"/>
      <c r="B810" s="88"/>
      <c r="C810" s="90"/>
      <c r="D810" s="84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84"/>
      <c r="B811" s="88"/>
      <c r="C811" s="90"/>
      <c r="D811" s="84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84"/>
      <c r="B812" s="88"/>
      <c r="C812" s="90"/>
      <c r="D812" s="84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84"/>
      <c r="B813" s="88"/>
      <c r="C813" s="90"/>
      <c r="D813" s="84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84"/>
      <c r="B814" s="88"/>
      <c r="C814" s="90"/>
      <c r="D814" s="84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84"/>
      <c r="B815" s="88"/>
      <c r="C815" s="90"/>
      <c r="D815" s="84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84"/>
      <c r="B816" s="88"/>
      <c r="C816" s="90"/>
      <c r="D816" s="84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84"/>
      <c r="B817" s="88"/>
      <c r="C817" s="90"/>
      <c r="D817" s="84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84"/>
      <c r="B818" s="88"/>
      <c r="C818" s="90"/>
      <c r="D818" s="84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84"/>
      <c r="B819" s="88"/>
      <c r="C819" s="90"/>
      <c r="D819" s="84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84"/>
      <c r="B820" s="88"/>
      <c r="C820" s="90"/>
      <c r="D820" s="84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84"/>
      <c r="B821" s="88"/>
      <c r="C821" s="90"/>
      <c r="D821" s="84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84"/>
      <c r="B822" s="88"/>
      <c r="C822" s="90"/>
      <c r="D822" s="84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84"/>
      <c r="B823" s="88"/>
      <c r="C823" s="90"/>
      <c r="D823" s="84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84"/>
      <c r="B824" s="88"/>
      <c r="C824" s="90"/>
      <c r="D824" s="84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84"/>
      <c r="B825" s="88"/>
      <c r="C825" s="90"/>
      <c r="D825" s="84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84"/>
      <c r="B826" s="88"/>
      <c r="C826" s="90"/>
      <c r="D826" s="84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84"/>
      <c r="B827" s="88"/>
      <c r="C827" s="90"/>
      <c r="D827" s="84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84"/>
      <c r="B828" s="88"/>
      <c r="C828" s="90"/>
      <c r="D828" s="84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84"/>
      <c r="B829" s="88"/>
      <c r="C829" s="90"/>
      <c r="D829" s="84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84"/>
      <c r="B830" s="88"/>
      <c r="C830" s="90"/>
      <c r="D830" s="84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84"/>
      <c r="B831" s="88"/>
      <c r="C831" s="90"/>
      <c r="D831" s="84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84"/>
      <c r="B832" s="88"/>
      <c r="C832" s="90"/>
      <c r="D832" s="84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84"/>
      <c r="B833" s="88"/>
      <c r="C833" s="90"/>
      <c r="D833" s="84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84"/>
      <c r="B834" s="88"/>
      <c r="C834" s="90"/>
      <c r="D834" s="84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84"/>
      <c r="B835" s="88"/>
      <c r="C835" s="90"/>
      <c r="D835" s="84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84"/>
      <c r="B836" s="88"/>
      <c r="C836" s="90"/>
      <c r="D836" s="84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84"/>
      <c r="B837" s="88"/>
      <c r="C837" s="90"/>
      <c r="D837" s="84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84"/>
      <c r="B838" s="88"/>
      <c r="C838" s="90"/>
      <c r="D838" s="84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84"/>
      <c r="B839" s="88"/>
      <c r="C839" s="90"/>
      <c r="D839" s="84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84"/>
      <c r="B840" s="88"/>
      <c r="C840" s="90"/>
      <c r="D840" s="84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84"/>
      <c r="B841" s="88"/>
      <c r="C841" s="90"/>
      <c r="D841" s="84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84"/>
      <c r="B842" s="88"/>
      <c r="C842" s="90"/>
      <c r="D842" s="84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84"/>
      <c r="B843" s="88"/>
      <c r="C843" s="90"/>
      <c r="D843" s="84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84"/>
      <c r="B844" s="88"/>
      <c r="C844" s="90"/>
      <c r="D844" s="84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84"/>
      <c r="B845" s="88"/>
      <c r="C845" s="90"/>
      <c r="D845" s="84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84"/>
      <c r="B846" s="88"/>
      <c r="C846" s="90"/>
      <c r="D846" s="84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84"/>
      <c r="B847" s="88"/>
      <c r="C847" s="90"/>
      <c r="D847" s="84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84"/>
      <c r="B848" s="88"/>
      <c r="C848" s="90"/>
      <c r="D848" s="84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84"/>
      <c r="B849" s="88"/>
      <c r="C849" s="90"/>
      <c r="D849" s="84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84"/>
      <c r="B850" s="88"/>
      <c r="C850" s="90"/>
      <c r="D850" s="84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84"/>
      <c r="B851" s="88"/>
      <c r="C851" s="90"/>
      <c r="D851" s="84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84"/>
      <c r="B852" s="88"/>
      <c r="C852" s="90"/>
      <c r="D852" s="84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84"/>
      <c r="B853" s="88"/>
      <c r="C853" s="90"/>
      <c r="D853" s="84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84"/>
      <c r="B854" s="88"/>
      <c r="C854" s="90"/>
      <c r="D854" s="84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84"/>
      <c r="B855" s="88"/>
      <c r="C855" s="90"/>
      <c r="D855" s="84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84"/>
      <c r="B856" s="88"/>
      <c r="C856" s="90"/>
      <c r="D856" s="84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84"/>
      <c r="B857" s="88"/>
      <c r="C857" s="90"/>
      <c r="D857" s="84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84"/>
      <c r="B858" s="88"/>
      <c r="C858" s="90"/>
      <c r="D858" s="84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84"/>
      <c r="B859" s="88"/>
      <c r="C859" s="90"/>
      <c r="D859" s="84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84"/>
      <c r="B860" s="88"/>
      <c r="C860" s="90"/>
      <c r="D860" s="84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84"/>
      <c r="B861" s="88"/>
      <c r="C861" s="90"/>
      <c r="D861" s="84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84"/>
      <c r="B862" s="88"/>
      <c r="C862" s="90"/>
      <c r="D862" s="84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84"/>
      <c r="B863" s="88"/>
      <c r="C863" s="90"/>
      <c r="D863" s="84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84"/>
      <c r="B864" s="88"/>
      <c r="C864" s="90"/>
      <c r="D864" s="84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84"/>
      <c r="B865" s="88"/>
      <c r="C865" s="90"/>
      <c r="D865" s="84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84"/>
      <c r="B866" s="88"/>
      <c r="C866" s="90"/>
      <c r="D866" s="84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84"/>
      <c r="B867" s="88"/>
      <c r="C867" s="90"/>
      <c r="D867" s="84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84"/>
      <c r="B868" s="88"/>
      <c r="C868" s="90"/>
      <c r="D868" s="84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84"/>
      <c r="B869" s="88"/>
      <c r="C869" s="90"/>
      <c r="D869" s="84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84"/>
      <c r="B870" s="88"/>
      <c r="C870" s="90"/>
      <c r="D870" s="84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84"/>
      <c r="B871" s="88"/>
      <c r="C871" s="90"/>
      <c r="D871" s="84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84"/>
      <c r="B872" s="88"/>
      <c r="C872" s="90"/>
      <c r="D872" s="84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84"/>
      <c r="B873" s="88"/>
      <c r="C873" s="90"/>
      <c r="D873" s="84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84"/>
      <c r="B874" s="88"/>
      <c r="C874" s="90"/>
      <c r="D874" s="84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84"/>
      <c r="B875" s="88"/>
      <c r="C875" s="90"/>
      <c r="D875" s="84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84"/>
      <c r="B876" s="88"/>
      <c r="C876" s="90"/>
      <c r="D876" s="84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84"/>
      <c r="B877" s="88"/>
      <c r="C877" s="90"/>
      <c r="D877" s="84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84"/>
      <c r="B878" s="88"/>
      <c r="C878" s="90"/>
      <c r="D878" s="84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84"/>
      <c r="B879" s="88"/>
      <c r="C879" s="90"/>
      <c r="D879" s="84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84"/>
      <c r="B880" s="88"/>
      <c r="C880" s="90"/>
      <c r="D880" s="84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84"/>
      <c r="B881" s="88"/>
      <c r="C881" s="90"/>
      <c r="D881" s="84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84"/>
      <c r="B882" s="88"/>
      <c r="C882" s="90"/>
      <c r="D882" s="84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84"/>
      <c r="B883" s="88"/>
      <c r="C883" s="90"/>
      <c r="D883" s="84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84"/>
      <c r="B884" s="88"/>
      <c r="C884" s="90"/>
      <c r="D884" s="84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84"/>
      <c r="B885" s="88"/>
      <c r="C885" s="90"/>
      <c r="D885" s="84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84"/>
      <c r="B886" s="88"/>
      <c r="C886" s="90"/>
      <c r="D886" s="84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84"/>
      <c r="B887" s="88"/>
      <c r="C887" s="90"/>
      <c r="D887" s="84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84"/>
      <c r="B888" s="88"/>
      <c r="C888" s="90"/>
      <c r="D888" s="84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84"/>
      <c r="B889" s="88"/>
      <c r="C889" s="90"/>
      <c r="D889" s="84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84"/>
      <c r="B890" s="88"/>
      <c r="C890" s="90"/>
      <c r="D890" s="84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84"/>
      <c r="B891" s="88"/>
      <c r="C891" s="90"/>
      <c r="D891" s="84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84"/>
      <c r="B892" s="88"/>
      <c r="C892" s="90"/>
      <c r="D892" s="84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84"/>
      <c r="B893" s="88"/>
      <c r="C893" s="90"/>
      <c r="D893" s="84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84"/>
      <c r="B894" s="88"/>
      <c r="C894" s="90"/>
      <c r="D894" s="84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84"/>
      <c r="B895" s="88"/>
      <c r="C895" s="90"/>
      <c r="D895" s="84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84"/>
      <c r="B896" s="88"/>
      <c r="C896" s="90"/>
      <c r="D896" s="84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84"/>
      <c r="B897" s="88"/>
      <c r="C897" s="90"/>
      <c r="D897" s="84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84"/>
      <c r="B898" s="88"/>
      <c r="C898" s="90"/>
      <c r="D898" s="84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84"/>
      <c r="B899" s="88"/>
      <c r="C899" s="90"/>
      <c r="D899" s="84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84"/>
      <c r="B900" s="88"/>
      <c r="C900" s="90"/>
      <c r="D900" s="84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84"/>
      <c r="B901" s="88"/>
      <c r="C901" s="90"/>
      <c r="D901" s="84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84"/>
      <c r="B902" s="88"/>
      <c r="C902" s="90"/>
      <c r="D902" s="84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84"/>
      <c r="B903" s="88"/>
      <c r="C903" s="90"/>
      <c r="D903" s="84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84"/>
      <c r="B904" s="88"/>
      <c r="C904" s="90"/>
      <c r="D904" s="84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84"/>
      <c r="B905" s="88"/>
      <c r="C905" s="90"/>
      <c r="D905" s="84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84"/>
      <c r="B906" s="88"/>
      <c r="C906" s="90"/>
      <c r="D906" s="84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84"/>
      <c r="B907" s="88"/>
      <c r="C907" s="90"/>
      <c r="D907" s="84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84"/>
      <c r="B908" s="88"/>
      <c r="C908" s="90"/>
      <c r="D908" s="84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84"/>
      <c r="B909" s="88"/>
      <c r="C909" s="90"/>
      <c r="D909" s="84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84"/>
      <c r="B910" s="88"/>
      <c r="C910" s="90"/>
      <c r="D910" s="84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84"/>
      <c r="B911" s="88"/>
      <c r="C911" s="90"/>
      <c r="D911" s="84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84"/>
      <c r="B912" s="88"/>
      <c r="C912" s="90"/>
      <c r="D912" s="84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84"/>
      <c r="B913" s="88"/>
      <c r="C913" s="90"/>
      <c r="D913" s="84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84"/>
      <c r="B914" s="88"/>
      <c r="C914" s="90"/>
      <c r="D914" s="84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84"/>
      <c r="B915" s="88"/>
      <c r="C915" s="90"/>
      <c r="D915" s="84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84"/>
      <c r="B916" s="88"/>
      <c r="C916" s="90"/>
      <c r="D916" s="84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84"/>
      <c r="B917" s="88"/>
      <c r="C917" s="90"/>
      <c r="D917" s="84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84"/>
      <c r="B918" s="88"/>
      <c r="C918" s="90"/>
      <c r="D918" s="84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84"/>
      <c r="B919" s="88"/>
      <c r="C919" s="90"/>
      <c r="D919" s="84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84"/>
      <c r="B920" s="88"/>
      <c r="C920" s="90"/>
      <c r="D920" s="84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84"/>
      <c r="B921" s="88"/>
      <c r="C921" s="90"/>
      <c r="D921" s="84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84"/>
      <c r="B922" s="88"/>
      <c r="C922" s="90"/>
      <c r="D922" s="84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84"/>
      <c r="B923" s="88"/>
      <c r="C923" s="90"/>
      <c r="D923" s="84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84"/>
      <c r="B924" s="88"/>
      <c r="C924" s="90"/>
      <c r="D924" s="84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84"/>
      <c r="B925" s="88"/>
      <c r="C925" s="90"/>
      <c r="D925" s="84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84"/>
      <c r="B926" s="88"/>
      <c r="C926" s="90"/>
      <c r="D926" s="84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84"/>
      <c r="B927" s="88"/>
      <c r="C927" s="90"/>
      <c r="D927" s="84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84"/>
      <c r="B928" s="88"/>
      <c r="C928" s="90"/>
      <c r="D928" s="84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84"/>
      <c r="B929" s="88"/>
      <c r="C929" s="90"/>
      <c r="D929" s="84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84"/>
      <c r="B930" s="88"/>
      <c r="C930" s="90"/>
      <c r="D930" s="84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84"/>
      <c r="B931" s="88"/>
      <c r="C931" s="90"/>
      <c r="D931" s="84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84"/>
      <c r="B932" s="88"/>
      <c r="C932" s="90"/>
      <c r="D932" s="84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84"/>
      <c r="B933" s="88"/>
      <c r="C933" s="90"/>
      <c r="D933" s="84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84"/>
      <c r="B934" s="88"/>
      <c r="C934" s="90"/>
      <c r="D934" s="84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84"/>
      <c r="B935" s="88"/>
      <c r="C935" s="90"/>
      <c r="D935" s="84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84"/>
      <c r="B936" s="88"/>
      <c r="C936" s="90"/>
      <c r="D936" s="84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84"/>
      <c r="B937" s="88"/>
      <c r="C937" s="90"/>
      <c r="D937" s="84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84"/>
      <c r="B938" s="88"/>
      <c r="C938" s="90"/>
      <c r="D938" s="84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84"/>
      <c r="B939" s="88"/>
      <c r="C939" s="90"/>
      <c r="D939" s="84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84"/>
      <c r="B940" s="88"/>
      <c r="C940" s="90"/>
      <c r="D940" s="84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84"/>
      <c r="B941" s="88"/>
      <c r="C941" s="90"/>
      <c r="D941" s="84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84"/>
      <c r="B942" s="88"/>
      <c r="C942" s="90"/>
      <c r="D942" s="84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84"/>
      <c r="B943" s="88"/>
      <c r="C943" s="90"/>
      <c r="D943" s="84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84"/>
      <c r="B944" s="88"/>
      <c r="C944" s="90"/>
      <c r="D944" s="84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84"/>
      <c r="B945" s="88"/>
      <c r="C945" s="90"/>
      <c r="D945" s="84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84"/>
      <c r="B946" s="88"/>
      <c r="C946" s="90"/>
      <c r="D946" s="84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84"/>
      <c r="B947" s="88"/>
      <c r="C947" s="90"/>
      <c r="D947" s="84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84"/>
      <c r="B948" s="88"/>
      <c r="C948" s="90"/>
      <c r="D948" s="84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84"/>
      <c r="B949" s="88"/>
      <c r="C949" s="90"/>
      <c r="D949" s="84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84"/>
      <c r="B950" s="88"/>
      <c r="C950" s="90"/>
      <c r="D950" s="84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84"/>
      <c r="B951" s="88"/>
      <c r="C951" s="90"/>
      <c r="D951" s="84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84"/>
      <c r="B952" s="88"/>
      <c r="C952" s="90"/>
      <c r="D952" s="84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84"/>
      <c r="B953" s="88"/>
      <c r="C953" s="90"/>
      <c r="D953" s="84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84"/>
      <c r="B954" s="88"/>
      <c r="C954" s="90"/>
      <c r="D954" s="84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84"/>
      <c r="B955" s="88"/>
      <c r="C955" s="90"/>
      <c r="D955" s="84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84"/>
      <c r="B956" s="88"/>
      <c r="C956" s="90"/>
      <c r="D956" s="84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84"/>
      <c r="B957" s="88"/>
      <c r="C957" s="90"/>
      <c r="D957" s="84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84"/>
      <c r="B958" s="88"/>
      <c r="C958" s="90"/>
      <c r="D958" s="84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84"/>
      <c r="B959" s="88"/>
      <c r="C959" s="90"/>
      <c r="D959" s="84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84"/>
      <c r="B960" s="88"/>
      <c r="C960" s="90"/>
      <c r="D960" s="84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84"/>
      <c r="B961" s="88"/>
      <c r="C961" s="90"/>
      <c r="D961" s="84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84"/>
      <c r="B962" s="88"/>
      <c r="C962" s="90"/>
      <c r="D962" s="84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84"/>
      <c r="B963" s="88"/>
      <c r="C963" s="90"/>
      <c r="D963" s="84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84"/>
      <c r="B964" s="88"/>
      <c r="C964" s="90"/>
      <c r="D964" s="84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84"/>
      <c r="B965" s="88"/>
      <c r="C965" s="90"/>
      <c r="D965" s="84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84"/>
      <c r="B966" s="88"/>
      <c r="C966" s="90"/>
      <c r="D966" s="84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84"/>
      <c r="B967" s="88"/>
      <c r="C967" s="90"/>
      <c r="D967" s="84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84"/>
      <c r="B968" s="88"/>
      <c r="C968" s="90"/>
      <c r="D968" s="84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84"/>
      <c r="B969" s="88"/>
      <c r="C969" s="90"/>
      <c r="D969" s="84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84"/>
      <c r="B970" s="88"/>
      <c r="C970" s="90"/>
      <c r="D970" s="84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84"/>
      <c r="B971" s="88"/>
      <c r="C971" s="90"/>
      <c r="D971" s="84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84"/>
      <c r="B972" s="88"/>
      <c r="C972" s="90"/>
      <c r="D972" s="84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84"/>
      <c r="B973" s="88"/>
      <c r="C973" s="90"/>
      <c r="D973" s="84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84"/>
      <c r="B974" s="88"/>
      <c r="C974" s="90"/>
      <c r="D974" s="84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84"/>
      <c r="B975" s="88"/>
      <c r="C975" s="90"/>
      <c r="D975" s="84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84"/>
      <c r="B976" s="88"/>
      <c r="C976" s="90"/>
      <c r="D976" s="84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84"/>
      <c r="B977" s="88"/>
      <c r="C977" s="90"/>
      <c r="D977" s="84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84"/>
      <c r="B978" s="88"/>
      <c r="C978" s="90"/>
      <c r="D978" s="84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84"/>
      <c r="B979" s="88"/>
      <c r="C979" s="90"/>
      <c r="D979" s="84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84"/>
      <c r="B980" s="88"/>
      <c r="C980" s="90"/>
      <c r="D980" s="84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84"/>
      <c r="B981" s="88"/>
      <c r="C981" s="90"/>
      <c r="D981" s="84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>
      <c r="A982" s="84"/>
      <c r="B982" s="88"/>
      <c r="C982" s="90"/>
      <c r="D982" s="84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>
      <c r="A983" s="84"/>
      <c r="B983" s="88"/>
      <c r="C983" s="90"/>
      <c r="D983" s="84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>
      <c r="A984" s="84"/>
      <c r="B984" s="88"/>
      <c r="C984" s="90"/>
      <c r="D984" s="84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>
      <c r="A985" s="84"/>
      <c r="B985" s="88"/>
      <c r="C985" s="90"/>
      <c r="D985" s="84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>
      <c r="A986" s="84"/>
      <c r="B986" s="88"/>
      <c r="C986" s="90"/>
      <c r="D986" s="84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>
      <c r="A987" s="84"/>
      <c r="B987" s="88"/>
      <c r="C987" s="90"/>
      <c r="D987" s="84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>
      <c r="A988" s="84"/>
      <c r="B988" s="88"/>
      <c r="C988" s="90"/>
      <c r="D988" s="84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>
      <c r="A989" s="84"/>
      <c r="B989" s="88"/>
      <c r="C989" s="90"/>
      <c r="D989" s="84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>
      <c r="A990" s="84"/>
      <c r="B990" s="88"/>
      <c r="C990" s="90"/>
      <c r="D990" s="84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>
      <c r="A991" s="84"/>
      <c r="B991" s="88"/>
      <c r="C991" s="90"/>
      <c r="D991" s="84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>
      <c r="A992" s="84"/>
      <c r="B992" s="88"/>
      <c r="C992" s="90"/>
      <c r="D992" s="84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>
      <c r="A993" s="84"/>
      <c r="B993" s="88"/>
      <c r="C993" s="90"/>
      <c r="D993" s="84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>
      <c r="A994" s="84"/>
      <c r="B994" s="88"/>
      <c r="C994" s="90"/>
      <c r="D994" s="84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>
      <c r="A995" s="84"/>
      <c r="B995" s="88"/>
      <c r="C995" s="90"/>
      <c r="D995" s="84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>
      <c r="A996" s="84"/>
      <c r="B996" s="88"/>
      <c r="C996" s="90"/>
      <c r="D996" s="84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>
      <c r="A997" s="84"/>
      <c r="B997" s="88"/>
      <c r="C997" s="90"/>
      <c r="D997" s="84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>
      <c r="A998" s="84"/>
      <c r="B998" s="88"/>
      <c r="C998" s="90"/>
      <c r="D998" s="84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>
      <c r="A999" s="84"/>
      <c r="B999" s="88"/>
      <c r="C999" s="90"/>
      <c r="D999" s="84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>
      <c r="A1000" s="84"/>
      <c r="B1000" s="88"/>
      <c r="C1000" s="90"/>
      <c r="D1000" s="84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>
      <c r="A1001" s="84"/>
      <c r="B1001" s="88"/>
      <c r="C1001" s="90"/>
      <c r="D1001" s="84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>
      <c r="A1002" s="84"/>
      <c r="B1002" s="88"/>
      <c r="C1002" s="90"/>
      <c r="D1002" s="84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>
      <c r="A1003" s="84"/>
      <c r="B1003" s="88"/>
      <c r="C1003" s="90"/>
      <c r="D1003" s="84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>
      <c r="A1004" s="84"/>
      <c r="B1004" s="88"/>
      <c r="C1004" s="90"/>
      <c r="D1004" s="84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  <row r="1005">
      <c r="A1005" s="84"/>
      <c r="B1005" s="88"/>
      <c r="C1005" s="90"/>
      <c r="D1005" s="84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</row>
    <row r="1006">
      <c r="A1006" s="84"/>
      <c r="B1006" s="88"/>
      <c r="C1006" s="90"/>
      <c r="D1006" s="84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</row>
    <row r="1007">
      <c r="A1007" s="84"/>
      <c r="B1007" s="88"/>
      <c r="C1007" s="90"/>
      <c r="D1007" s="84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</row>
    <row r="1008">
      <c r="A1008" s="84"/>
      <c r="B1008" s="88"/>
      <c r="C1008" s="90"/>
      <c r="D1008" s="84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</row>
    <row r="1009">
      <c r="A1009" s="84"/>
      <c r="B1009" s="88"/>
      <c r="C1009" s="90"/>
      <c r="D1009" s="84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</row>
    <row r="1010">
      <c r="A1010" s="84"/>
      <c r="B1010" s="88"/>
      <c r="C1010" s="90"/>
      <c r="D1010" s="84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</row>
    <row r="1011">
      <c r="A1011" s="84"/>
      <c r="B1011" s="88"/>
      <c r="C1011" s="90"/>
      <c r="D1011" s="84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</row>
    <row r="1012">
      <c r="A1012" s="84"/>
      <c r="B1012" s="88"/>
      <c r="C1012" s="90"/>
      <c r="D1012" s="84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</row>
    <row r="1013">
      <c r="A1013" s="84"/>
      <c r="B1013" s="88"/>
      <c r="C1013" s="90"/>
      <c r="D1013" s="84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</row>
    <row r="1014">
      <c r="A1014" s="84"/>
      <c r="B1014" s="88"/>
      <c r="C1014" s="90"/>
      <c r="D1014" s="84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</row>
  </sheetData>
  <mergeCells count="11">
    <mergeCell ref="G18:H18"/>
    <mergeCell ref="G19:H19"/>
    <mergeCell ref="F24:J24"/>
    <mergeCell ref="A2:A12"/>
    <mergeCell ref="A13:A16"/>
    <mergeCell ref="G13:H13"/>
    <mergeCell ref="G14:H14"/>
    <mergeCell ref="G15:H15"/>
    <mergeCell ref="G16:H16"/>
    <mergeCell ref="A17:A21"/>
    <mergeCell ref="A22:A29"/>
  </mergeCells>
  <conditionalFormatting sqref="F27:J111">
    <cfRule type="expression" dxfId="0" priority="1">
      <formula>$I27=TRUE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13"/>
    <col customWidth="1" min="4" max="4" width="21.88"/>
    <col customWidth="1" min="5" max="5" width="15.63"/>
    <col customWidth="1" min="6" max="6" width="24.38"/>
    <col customWidth="1" min="7" max="7" width="41.38"/>
    <col customWidth="1" min="8" max="8" width="14.38"/>
  </cols>
  <sheetData>
    <row r="1">
      <c r="A1" s="91" t="s">
        <v>24</v>
      </c>
      <c r="B1" s="49" t="s">
        <v>25</v>
      </c>
      <c r="C1" s="49" t="s">
        <v>26</v>
      </c>
      <c r="D1" s="49" t="s">
        <v>27</v>
      </c>
      <c r="E1" s="50"/>
      <c r="F1" s="51" t="s">
        <v>24</v>
      </c>
      <c r="G1" s="51" t="s">
        <v>28</v>
      </c>
      <c r="H1" s="52" t="s">
        <v>26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3">
        <v>46262.0</v>
      </c>
      <c r="B2" s="54" t="s">
        <v>50</v>
      </c>
      <c r="C2" s="54">
        <v>38.0</v>
      </c>
      <c r="D2" s="55" t="s">
        <v>40</v>
      </c>
      <c r="E2" s="54"/>
      <c r="F2" s="56">
        <v>46261.0</v>
      </c>
      <c r="G2" s="57" t="s">
        <v>78</v>
      </c>
      <c r="H2" s="58">
        <f>24357+'T82026'!G18</f>
        <v>27917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B3" s="54" t="s">
        <v>56</v>
      </c>
      <c r="C3" s="54">
        <v>16.0</v>
      </c>
      <c r="D3" s="55" t="s">
        <v>40</v>
      </c>
      <c r="E3" s="59"/>
      <c r="F3" s="92"/>
      <c r="G3" s="54" t="s">
        <v>79</v>
      </c>
      <c r="H3" s="61">
        <v>1000.0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B4" s="54" t="s">
        <v>80</v>
      </c>
      <c r="C4" s="54">
        <v>93.0</v>
      </c>
      <c r="D4" s="55" t="s">
        <v>40</v>
      </c>
      <c r="E4" s="50"/>
      <c r="F4" s="60">
        <v>46280.0</v>
      </c>
      <c r="G4" s="54" t="s">
        <v>81</v>
      </c>
      <c r="H4" s="61">
        <v>1000.0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B5" s="54" t="s">
        <v>82</v>
      </c>
      <c r="C5" s="54">
        <v>63.0</v>
      </c>
      <c r="D5" s="55" t="s">
        <v>40</v>
      </c>
      <c r="E5" s="59"/>
      <c r="F5" s="92"/>
      <c r="G5" s="54" t="s">
        <v>83</v>
      </c>
      <c r="H5" s="61">
        <v>2000.0</v>
      </c>
      <c r="I5" s="59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B6" s="54" t="s">
        <v>84</v>
      </c>
      <c r="C6" s="54">
        <v>2000.0</v>
      </c>
      <c r="D6" s="55" t="s">
        <v>84</v>
      </c>
      <c r="E6" s="50"/>
      <c r="F6" s="92"/>
      <c r="G6" s="54" t="s">
        <v>85</v>
      </c>
      <c r="H6" s="61">
        <v>2000.0</v>
      </c>
      <c r="I6" s="59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53">
        <v>46263.0</v>
      </c>
      <c r="B7" s="54" t="s">
        <v>86</v>
      </c>
      <c r="C7" s="59">
        <f>100+218</f>
        <v>318</v>
      </c>
      <c r="D7" s="55" t="s">
        <v>76</v>
      </c>
      <c r="E7" s="50"/>
      <c r="F7" s="60">
        <v>46281.0</v>
      </c>
      <c r="G7" s="54" t="s">
        <v>79</v>
      </c>
      <c r="H7" s="61">
        <v>500.0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B8" s="54" t="s">
        <v>87</v>
      </c>
      <c r="C8" s="54">
        <v>60.0</v>
      </c>
      <c r="D8" s="55" t="s">
        <v>40</v>
      </c>
      <c r="E8" s="50"/>
      <c r="F8" s="60">
        <v>46288.0</v>
      </c>
      <c r="G8" s="54" t="s">
        <v>88</v>
      </c>
      <c r="H8" s="61">
        <v>50.0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B9" s="54" t="s">
        <v>89</v>
      </c>
      <c r="C9" s="54">
        <v>28.0</v>
      </c>
      <c r="D9" s="55" t="s">
        <v>40</v>
      </c>
      <c r="F9" s="60">
        <v>46288.0</v>
      </c>
      <c r="G9" s="54" t="s">
        <v>90</v>
      </c>
      <c r="H9" s="61">
        <v>500.0</v>
      </c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B10" s="54" t="s">
        <v>91</v>
      </c>
      <c r="C10" s="54">
        <v>70.0</v>
      </c>
      <c r="D10" s="55" t="s">
        <v>40</v>
      </c>
      <c r="E10" s="50"/>
      <c r="F10" s="60">
        <v>46289.0</v>
      </c>
      <c r="G10" s="54" t="s">
        <v>92</v>
      </c>
      <c r="H10" s="61">
        <v>200.0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B11" s="54" t="s">
        <v>93</v>
      </c>
      <c r="C11" s="54">
        <v>66.0</v>
      </c>
      <c r="D11" s="55" t="s">
        <v>40</v>
      </c>
      <c r="E11" s="54"/>
      <c r="F11" s="60">
        <v>46291.0</v>
      </c>
      <c r="G11" s="54" t="s">
        <v>94</v>
      </c>
      <c r="H11" s="61">
        <v>500.0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53">
        <v>46264.0</v>
      </c>
      <c r="B12" s="54" t="s">
        <v>95</v>
      </c>
      <c r="C12" s="59">
        <f>130+61+62</f>
        <v>253</v>
      </c>
      <c r="D12" s="55" t="s">
        <v>76</v>
      </c>
      <c r="E12" s="50"/>
      <c r="F12" s="62"/>
      <c r="G12" s="63"/>
      <c r="H12" s="64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B13" s="54" t="s">
        <v>96</v>
      </c>
      <c r="C13" s="54">
        <v>19.0</v>
      </c>
      <c r="D13" s="55" t="s">
        <v>40</v>
      </c>
      <c r="E13" s="50"/>
      <c r="F13" s="65" t="s">
        <v>49</v>
      </c>
      <c r="G13" s="66">
        <f>SUM(H2:H12)</f>
        <v>35667</v>
      </c>
      <c r="H13" s="27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B14" s="54" t="s">
        <v>97</v>
      </c>
      <c r="C14" s="54">
        <v>64.0</v>
      </c>
      <c r="D14" s="55" t="s">
        <v>40</v>
      </c>
      <c r="E14" s="50"/>
      <c r="F14" s="67" t="s">
        <v>51</v>
      </c>
      <c r="G14" s="68">
        <f>SUMPRODUCT(((D2:D233&lt;&gt;"Credit")*(D2:D233&lt;&gt;"Quỹ Shinhan"))*C2:C233) + G15</f>
        <v>35539</v>
      </c>
      <c r="H14" s="3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B15" s="54" t="s">
        <v>98</v>
      </c>
      <c r="C15" s="54">
        <v>305.0</v>
      </c>
      <c r="D15" s="55" t="s">
        <v>40</v>
      </c>
      <c r="E15" s="59"/>
      <c r="F15" s="67" t="s">
        <v>53</v>
      </c>
      <c r="G15" s="69">
        <f>-62+103+45-156+1+108+205+81+101+81+32+6</f>
        <v>545</v>
      </c>
      <c r="H15" s="3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B16" s="54" t="s">
        <v>42</v>
      </c>
      <c r="C16" s="54">
        <v>4000.0</v>
      </c>
      <c r="D16" s="55" t="s">
        <v>42</v>
      </c>
      <c r="E16" s="50"/>
      <c r="F16" s="67" t="s">
        <v>55</v>
      </c>
      <c r="G16" s="69">
        <v>0.0</v>
      </c>
      <c r="H16" s="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B17" s="54" t="s">
        <v>93</v>
      </c>
      <c r="C17" s="54">
        <v>69.0</v>
      </c>
      <c r="D17" s="55" t="s">
        <v>40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B18" s="54" t="s">
        <v>47</v>
      </c>
      <c r="C18" s="54">
        <f>99+36</f>
        <v>135</v>
      </c>
      <c r="D18" s="55" t="s">
        <v>48</v>
      </c>
      <c r="E18" s="59"/>
      <c r="F18" s="67" t="s">
        <v>57</v>
      </c>
      <c r="G18" s="70">
        <f>G13-G14-J26</f>
        <v>128</v>
      </c>
      <c r="H18" s="3"/>
      <c r="I18" s="54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B19" s="54" t="s">
        <v>35</v>
      </c>
      <c r="C19" s="54">
        <v>1500.0</v>
      </c>
      <c r="D19" s="55" t="s">
        <v>35</v>
      </c>
      <c r="E19" s="50"/>
      <c r="F19" s="67" t="s">
        <v>59</v>
      </c>
      <c r="G19" s="71">
        <f>G13-G14</f>
        <v>128</v>
      </c>
      <c r="H19" s="3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3">
        <v>46265.0</v>
      </c>
      <c r="B20" s="54" t="s">
        <v>99</v>
      </c>
      <c r="C20" s="54">
        <v>1002.0</v>
      </c>
      <c r="D20" s="55" t="s">
        <v>99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B21" s="54" t="s">
        <v>100</v>
      </c>
      <c r="C21" s="54">
        <v>20.0</v>
      </c>
      <c r="D21" s="55" t="s">
        <v>101</v>
      </c>
      <c r="E21" s="50"/>
      <c r="F21" s="72" t="s">
        <v>62</v>
      </c>
      <c r="G21" s="72" t="s">
        <v>63</v>
      </c>
      <c r="H21" s="72" t="s">
        <v>64</v>
      </c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B22" s="54" t="s">
        <v>102</v>
      </c>
      <c r="C22" s="54">
        <v>89.0</v>
      </c>
      <c r="D22" s="55" t="s">
        <v>40</v>
      </c>
      <c r="E22" s="50"/>
      <c r="F22" s="73" t="s">
        <v>40</v>
      </c>
      <c r="G22" s="74">
        <v>8000.0</v>
      </c>
      <c r="H22" s="75">
        <f>SUMIF(D2:D156, "=Living expense",C2:C174)+G15</f>
        <v>8122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B23" s="54" t="s">
        <v>103</v>
      </c>
      <c r="C23" s="54">
        <v>45.0</v>
      </c>
      <c r="D23" s="55" t="s">
        <v>40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B24" s="54" t="s">
        <v>104</v>
      </c>
      <c r="C24" s="54">
        <v>127.0</v>
      </c>
      <c r="D24" s="55" t="s">
        <v>40</v>
      </c>
      <c r="E24" s="50"/>
      <c r="F24" s="76" t="s">
        <v>67</v>
      </c>
      <c r="G24" s="2"/>
      <c r="H24" s="2"/>
      <c r="I24" s="2"/>
      <c r="J24" s="3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53">
        <v>46266.0</v>
      </c>
      <c r="B25" s="54" t="s">
        <v>105</v>
      </c>
      <c r="C25" s="54">
        <v>25.0</v>
      </c>
      <c r="D25" s="55" t="s">
        <v>40</v>
      </c>
      <c r="E25" s="50"/>
      <c r="F25" s="72" t="s">
        <v>62</v>
      </c>
      <c r="G25" s="72" t="s">
        <v>63</v>
      </c>
      <c r="H25" s="72" t="s">
        <v>64</v>
      </c>
      <c r="I25" s="72" t="s">
        <v>69</v>
      </c>
      <c r="J25" s="72" t="s">
        <v>70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B26" s="54" t="s">
        <v>106</v>
      </c>
      <c r="C26" s="54">
        <v>53.0</v>
      </c>
      <c r="D26" s="55" t="s">
        <v>40</v>
      </c>
      <c r="E26" s="50"/>
      <c r="F26" s="77" t="s">
        <v>73</v>
      </c>
      <c r="G26" s="78">
        <f t="shared" ref="G26:H26" si="1">SUM(G27:G111)</f>
        <v>25000</v>
      </c>
      <c r="H26" s="79">
        <f t="shared" si="1"/>
        <v>26541</v>
      </c>
      <c r="I26" s="80"/>
      <c r="J26" s="79">
        <f>SUM(J27:J111)</f>
        <v>0</v>
      </c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B27" s="54" t="s">
        <v>107</v>
      </c>
      <c r="C27" s="54">
        <v>89.0</v>
      </c>
      <c r="D27" s="55" t="s">
        <v>40</v>
      </c>
      <c r="E27" s="59"/>
      <c r="F27" s="81" t="s">
        <v>66</v>
      </c>
      <c r="G27" s="82">
        <v>7200.0</v>
      </c>
      <c r="H27" s="83">
        <f>IFERROR(__xludf.DUMMYFUNCTION("SUMIF($D$2:$D$532, TO_TEXT(F27) ,$C$2:$C$532)"),7268.0)</f>
        <v>7268</v>
      </c>
      <c r="I27" s="54" t="b">
        <v>1</v>
      </c>
      <c r="J27" s="84">
        <f t="shared" ref="J27:J35" si="2">IF(I27=TRUE,0,MAX(G27-H27,0))</f>
        <v>0</v>
      </c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B28" s="54" t="s">
        <v>102</v>
      </c>
      <c r="C28" s="54">
        <v>89.0</v>
      </c>
      <c r="D28" s="55" t="s">
        <v>40</v>
      </c>
      <c r="E28" s="50"/>
      <c r="F28" s="81" t="s">
        <v>12</v>
      </c>
      <c r="G28" s="82">
        <v>5000.0</v>
      </c>
      <c r="H28" s="83">
        <f>IFERROR(__xludf.DUMMYFUNCTION("SUMIF($D$2:$D$532, TO_TEXT(F28) ,$C$2:$C$532)"),5000.0)</f>
        <v>5000</v>
      </c>
      <c r="I28" s="54" t="b">
        <v>1</v>
      </c>
      <c r="J28" s="84">
        <f t="shared" si="2"/>
        <v>0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B29" s="54" t="s">
        <v>10</v>
      </c>
      <c r="C29" s="54">
        <v>1700.0</v>
      </c>
      <c r="D29" s="55" t="s">
        <v>10</v>
      </c>
      <c r="E29" s="50"/>
      <c r="F29" s="54" t="s">
        <v>108</v>
      </c>
      <c r="G29" s="55">
        <v>2000.0</v>
      </c>
      <c r="H29" s="83">
        <f>IFERROR(__xludf.DUMMYFUNCTION("SUMIF($D$2:$D$532, TO_TEXT(F29) ,$C$2:$C$532)"),2000.0)</f>
        <v>2000</v>
      </c>
      <c r="I29" s="54" t="b">
        <v>1</v>
      </c>
      <c r="J29" s="84">
        <f t="shared" si="2"/>
        <v>0</v>
      </c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B30" s="54" t="s">
        <v>96</v>
      </c>
      <c r="C30" s="54">
        <v>20.0</v>
      </c>
      <c r="D30" s="55" t="s">
        <v>40</v>
      </c>
      <c r="E30" s="54"/>
      <c r="F30" s="81" t="s">
        <v>35</v>
      </c>
      <c r="G30" s="82">
        <v>1500.0</v>
      </c>
      <c r="H30" s="83">
        <f>IFERROR(__xludf.DUMMYFUNCTION("SUMIF($D$2:$D$532, TO_TEXT(F30) ,$C$2:$C$532)"),1500.0)</f>
        <v>1500</v>
      </c>
      <c r="I30" s="54" t="b">
        <v>1</v>
      </c>
      <c r="J30" s="84">
        <f t="shared" si="2"/>
        <v>0</v>
      </c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53">
        <v>46267.0</v>
      </c>
      <c r="B31" s="54" t="s">
        <v>89</v>
      </c>
      <c r="C31" s="54">
        <v>35.0</v>
      </c>
      <c r="D31" s="55" t="s">
        <v>40</v>
      </c>
      <c r="E31" s="50"/>
      <c r="F31" s="54" t="s">
        <v>10</v>
      </c>
      <c r="G31" s="55">
        <v>1700.0</v>
      </c>
      <c r="H31" s="83">
        <f>IFERROR(__xludf.DUMMYFUNCTION("SUMIF($D$2:$D$532, TO_TEXT(F31) ,$C$2:$C$532)"),1700.0)</f>
        <v>1700</v>
      </c>
      <c r="I31" s="54" t="b">
        <v>1</v>
      </c>
      <c r="J31" s="84">
        <f t="shared" si="2"/>
        <v>0</v>
      </c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B32" s="54" t="s">
        <v>109</v>
      </c>
      <c r="C32" s="54">
        <v>35.0</v>
      </c>
      <c r="D32" s="55" t="s">
        <v>40</v>
      </c>
      <c r="E32" s="50"/>
      <c r="F32" s="81" t="s">
        <v>42</v>
      </c>
      <c r="G32" s="82">
        <v>3000.0</v>
      </c>
      <c r="H32" s="83">
        <f>IFERROR(__xludf.DUMMYFUNCTION("SUMIF($D$2:$D$532, TO_TEXT(F32) ,$C$2:$C$532)"),3000.0)</f>
        <v>3000</v>
      </c>
      <c r="I32" s="54" t="b">
        <v>1</v>
      </c>
      <c r="J32" s="84">
        <f t="shared" si="2"/>
        <v>0</v>
      </c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B33" s="54" t="s">
        <v>110</v>
      </c>
      <c r="C33" s="54">
        <v>129.0</v>
      </c>
      <c r="D33" s="55" t="s">
        <v>48</v>
      </c>
      <c r="E33" s="50"/>
      <c r="F33" s="54" t="s">
        <v>76</v>
      </c>
      <c r="G33" s="55">
        <v>600.0</v>
      </c>
      <c r="H33" s="83">
        <f>IFERROR(__xludf.DUMMYFUNCTION("SUMIF($D$2:$D$532, TO_TEXT(F33) ,$C$2:$C$532)"),2216.0)</f>
        <v>2216</v>
      </c>
      <c r="I33" s="54" t="b">
        <v>1</v>
      </c>
      <c r="J33" s="84">
        <f t="shared" si="2"/>
        <v>0</v>
      </c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B34" s="54" t="s">
        <v>111</v>
      </c>
      <c r="C34" s="54">
        <v>50.0</v>
      </c>
      <c r="D34" s="55" t="s">
        <v>40</v>
      </c>
      <c r="E34" s="59"/>
      <c r="F34" s="81" t="s">
        <v>84</v>
      </c>
      <c r="G34" s="55">
        <v>2000.0</v>
      </c>
      <c r="H34" s="83">
        <f>IFERROR(__xludf.DUMMYFUNCTION("SUMIF($D$2:$D$532, TO_TEXT(F34) ,$C$2:$C$532)"),2000.0)</f>
        <v>2000</v>
      </c>
      <c r="I34" s="54" t="b">
        <v>1</v>
      </c>
      <c r="J34" s="84">
        <f t="shared" si="2"/>
        <v>0</v>
      </c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B35" s="54" t="s">
        <v>112</v>
      </c>
      <c r="C35" s="54">
        <v>50.0</v>
      </c>
      <c r="D35" s="55" t="s">
        <v>40</v>
      </c>
      <c r="E35" s="50"/>
      <c r="F35" s="81" t="s">
        <v>99</v>
      </c>
      <c r="G35" s="55">
        <v>2000.0</v>
      </c>
      <c r="H35" s="83">
        <f>IFERROR(__xludf.DUMMYFUNCTION("SUMIF($D$2:$D$532, TO_TEXT(F35) ,$C$2:$C$532)"),1857.0)</f>
        <v>1857</v>
      </c>
      <c r="I35" s="54" t="b">
        <v>1</v>
      </c>
      <c r="J35" s="84">
        <f t="shared" si="2"/>
        <v>0</v>
      </c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B36" s="54" t="s">
        <v>65</v>
      </c>
      <c r="C36" s="54">
        <v>10.0</v>
      </c>
      <c r="D36" s="55" t="s">
        <v>66</v>
      </c>
      <c r="E36" s="54"/>
      <c r="F36" s="54"/>
      <c r="G36" s="55"/>
      <c r="H36" s="83"/>
      <c r="I36" s="54"/>
      <c r="J36" s="84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B37" s="54" t="s">
        <v>113</v>
      </c>
      <c r="C37" s="54">
        <v>855.0</v>
      </c>
      <c r="D37" s="55" t="s">
        <v>99</v>
      </c>
      <c r="E37" s="54"/>
      <c r="F37" s="54"/>
      <c r="G37" s="55"/>
      <c r="H37" s="83"/>
      <c r="I37" s="54"/>
      <c r="J37" s="84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A38" s="53">
        <v>46268.0</v>
      </c>
      <c r="B38" s="54" t="s">
        <v>114</v>
      </c>
      <c r="C38" s="54">
        <v>20.0</v>
      </c>
      <c r="D38" s="55" t="s">
        <v>40</v>
      </c>
      <c r="E38" s="59"/>
      <c r="F38" s="54"/>
      <c r="G38" s="55"/>
      <c r="H38" s="83"/>
      <c r="I38" s="55"/>
      <c r="J38" s="83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B39" s="54" t="s">
        <v>68</v>
      </c>
      <c r="C39" s="54">
        <v>769.0</v>
      </c>
      <c r="D39" s="55" t="s">
        <v>66</v>
      </c>
      <c r="E39" s="59"/>
      <c r="F39" s="54"/>
      <c r="G39" s="55"/>
      <c r="H39" s="83"/>
      <c r="I39" s="55"/>
      <c r="J39" s="83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B40" s="54" t="s">
        <v>115</v>
      </c>
      <c r="C40" s="54">
        <v>240.0</v>
      </c>
      <c r="D40" s="55" t="s">
        <v>66</v>
      </c>
      <c r="E40" s="59"/>
      <c r="F40" s="54"/>
      <c r="G40" s="55"/>
      <c r="H40" s="83"/>
      <c r="I40" s="55"/>
      <c r="J40" s="83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B41" s="54" t="s">
        <v>116</v>
      </c>
      <c r="C41" s="59">
        <f>148-59-43</f>
        <v>46</v>
      </c>
      <c r="D41" s="55" t="s">
        <v>40</v>
      </c>
      <c r="E41" s="54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B42" s="54" t="s">
        <v>117</v>
      </c>
      <c r="C42" s="54">
        <v>175.0</v>
      </c>
      <c r="D42" s="55" t="s">
        <v>40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B43" s="54" t="s">
        <v>93</v>
      </c>
      <c r="C43" s="54">
        <v>73.0</v>
      </c>
      <c r="D43" s="55" t="s">
        <v>40</v>
      </c>
      <c r="E43" s="59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53">
        <v>46269.0</v>
      </c>
      <c r="B44" s="54" t="s">
        <v>50</v>
      </c>
      <c r="C44" s="59">
        <f>198-38-40-40-40</f>
        <v>40</v>
      </c>
      <c r="D44" s="55" t="s">
        <v>40</v>
      </c>
      <c r="E44" s="54"/>
      <c r="F44" s="54"/>
      <c r="G44" s="55"/>
      <c r="H44" s="83"/>
      <c r="I44" s="55"/>
      <c r="J44" s="83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B45" s="54" t="s">
        <v>56</v>
      </c>
      <c r="C45" s="54">
        <v>16.0</v>
      </c>
      <c r="D45" s="55" t="s">
        <v>40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B46" s="54" t="s">
        <v>108</v>
      </c>
      <c r="C46" s="54">
        <v>2000.0</v>
      </c>
      <c r="D46" s="55" t="s">
        <v>108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B47" s="54" t="s">
        <v>118</v>
      </c>
      <c r="C47" s="59">
        <f>153-41-59</f>
        <v>53</v>
      </c>
      <c r="D47" s="55" t="s">
        <v>40</v>
      </c>
      <c r="E47" s="54"/>
      <c r="F47" s="54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B48" s="54" t="s">
        <v>56</v>
      </c>
      <c r="C48" s="54">
        <v>15.0</v>
      </c>
      <c r="D48" s="55" t="s">
        <v>40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53">
        <v>46270.0</v>
      </c>
      <c r="B49" s="54" t="s">
        <v>50</v>
      </c>
      <c r="C49" s="54">
        <v>30.0</v>
      </c>
      <c r="D49" s="55" t="s">
        <v>40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B50" s="54" t="s">
        <v>56</v>
      </c>
      <c r="C50" s="54">
        <v>30.0</v>
      </c>
      <c r="D50" s="55" t="s">
        <v>40</v>
      </c>
      <c r="E50" s="59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B51" s="54" t="s">
        <v>93</v>
      </c>
      <c r="C51" s="54">
        <v>57.0</v>
      </c>
      <c r="D51" s="55" t="s">
        <v>40</v>
      </c>
      <c r="E51" s="59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53">
        <v>46271.0</v>
      </c>
      <c r="B52" s="54" t="s">
        <v>119</v>
      </c>
      <c r="C52" s="54">
        <v>1034.0</v>
      </c>
      <c r="D52" s="55" t="s">
        <v>40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53">
        <v>46272.0</v>
      </c>
      <c r="B53" s="54" t="s">
        <v>89</v>
      </c>
      <c r="C53" s="54">
        <v>15.0</v>
      </c>
      <c r="D53" s="55" t="s">
        <v>40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B54" s="54" t="s">
        <v>50</v>
      </c>
      <c r="C54" s="54">
        <v>63.0</v>
      </c>
      <c r="D54" s="55" t="s">
        <v>40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B55" s="54" t="s">
        <v>120</v>
      </c>
      <c r="C55" s="54">
        <v>22.0</v>
      </c>
      <c r="D55" s="55" t="s">
        <v>40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B56" s="54" t="s">
        <v>42</v>
      </c>
      <c r="C56" s="54">
        <v>-1000.0</v>
      </c>
      <c r="D56" s="55" t="s">
        <v>42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53">
        <v>46273.0</v>
      </c>
      <c r="B57" s="54" t="s">
        <v>93</v>
      </c>
      <c r="C57" s="59">
        <f>90-35</f>
        <v>55</v>
      </c>
      <c r="D57" s="55" t="s">
        <v>40</v>
      </c>
      <c r="E57" s="59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B58" s="54" t="s">
        <v>37</v>
      </c>
      <c r="C58" s="54">
        <v>50.0</v>
      </c>
      <c r="D58" s="55" t="s">
        <v>40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53">
        <v>46274.0</v>
      </c>
      <c r="B59" s="54" t="s">
        <v>56</v>
      </c>
      <c r="C59" s="54">
        <v>22.0</v>
      </c>
      <c r="D59" s="55" t="s">
        <v>40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B60" s="54" t="s">
        <v>91</v>
      </c>
      <c r="C60" s="54">
        <v>43.0</v>
      </c>
      <c r="D60" s="55" t="s">
        <v>40</v>
      </c>
      <c r="E60" s="54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B61" s="54" t="s">
        <v>112</v>
      </c>
      <c r="C61" s="54">
        <v>40.0</v>
      </c>
      <c r="D61" s="55" t="s">
        <v>40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B62" s="54" t="s">
        <v>121</v>
      </c>
      <c r="C62" s="54">
        <v>156.0</v>
      </c>
      <c r="D62" s="55" t="s">
        <v>72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53">
        <v>46275.0</v>
      </c>
      <c r="B63" s="54" t="s">
        <v>89</v>
      </c>
      <c r="C63" s="54">
        <v>15.0</v>
      </c>
      <c r="D63" s="55" t="s">
        <v>40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B64" s="54" t="s">
        <v>122</v>
      </c>
      <c r="C64" s="59">
        <f>127-58</f>
        <v>69</v>
      </c>
      <c r="D64" s="55" t="s">
        <v>40</v>
      </c>
      <c r="E64" s="59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B65" s="54" t="s">
        <v>56</v>
      </c>
      <c r="C65" s="54">
        <v>22.0</v>
      </c>
      <c r="D65" s="55" t="s">
        <v>40</v>
      </c>
      <c r="E65" s="59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53">
        <v>46276.0</v>
      </c>
      <c r="B66" s="54" t="s">
        <v>123</v>
      </c>
      <c r="C66" s="54">
        <v>47.0</v>
      </c>
      <c r="D66" s="55" t="s">
        <v>40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53">
        <v>46277.0</v>
      </c>
      <c r="B67" s="54" t="s">
        <v>124</v>
      </c>
      <c r="C67" s="54">
        <v>76.0</v>
      </c>
      <c r="D67" s="55" t="s">
        <v>40</v>
      </c>
      <c r="E67" s="59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B68" s="54" t="s">
        <v>11</v>
      </c>
      <c r="C68" s="54">
        <v>87.0</v>
      </c>
      <c r="D68" s="55" t="s">
        <v>40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B69" s="54" t="s">
        <v>125</v>
      </c>
      <c r="C69" s="54">
        <v>231.0</v>
      </c>
      <c r="D69" s="55" t="s">
        <v>40</v>
      </c>
      <c r="E69" s="59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B70" s="54" t="s">
        <v>93</v>
      </c>
      <c r="C70" s="54">
        <v>30.0</v>
      </c>
      <c r="D70" s="55" t="s">
        <v>40</v>
      </c>
      <c r="E70" s="59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53">
        <v>46278.0</v>
      </c>
      <c r="B71" s="54" t="s">
        <v>126</v>
      </c>
      <c r="C71" s="54">
        <v>62.0</v>
      </c>
      <c r="D71" s="55" t="s">
        <v>40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B72" s="54" t="s">
        <v>127</v>
      </c>
      <c r="C72" s="54">
        <v>70.0</v>
      </c>
      <c r="D72" s="55" t="s">
        <v>40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B73" s="54" t="s">
        <v>128</v>
      </c>
      <c r="C73" s="54">
        <v>145.0</v>
      </c>
      <c r="D73" s="55" t="s">
        <v>40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B74" s="54" t="s">
        <v>129</v>
      </c>
      <c r="C74" s="54">
        <v>30.0</v>
      </c>
      <c r="D74" s="55" t="s">
        <v>40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B75" s="54" t="s">
        <v>130</v>
      </c>
      <c r="C75" s="54">
        <v>65.0</v>
      </c>
      <c r="D75" s="55" t="s">
        <v>40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B76" s="54" t="s">
        <v>131</v>
      </c>
      <c r="C76" s="54">
        <v>107.0</v>
      </c>
      <c r="D76" s="55" t="s">
        <v>40</v>
      </c>
      <c r="E76" s="54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53">
        <v>46279.0</v>
      </c>
      <c r="B77" s="54" t="s">
        <v>89</v>
      </c>
      <c r="C77" s="54">
        <v>37.0</v>
      </c>
      <c r="D77" s="55" t="s">
        <v>40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B78" s="54" t="s">
        <v>132</v>
      </c>
      <c r="C78" s="54">
        <v>25.0</v>
      </c>
      <c r="D78" s="55" t="s">
        <v>40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B79" s="54" t="s">
        <v>80</v>
      </c>
      <c r="C79" s="54">
        <v>67.0</v>
      </c>
      <c r="D79" s="55" t="s">
        <v>40</v>
      </c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3">
        <v>46280.0</v>
      </c>
      <c r="B80" s="54" t="s">
        <v>86</v>
      </c>
      <c r="C80" s="59">
        <f>100+1500+45</f>
        <v>1645</v>
      </c>
      <c r="D80" s="55" t="s">
        <v>76</v>
      </c>
      <c r="E80" s="59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B81" s="54" t="s">
        <v>66</v>
      </c>
      <c r="C81" s="54">
        <v>6000.0</v>
      </c>
      <c r="D81" s="55" t="s">
        <v>66</v>
      </c>
      <c r="E81" s="59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B82" s="54" t="s">
        <v>12</v>
      </c>
      <c r="C82" s="54">
        <v>5000.0</v>
      </c>
      <c r="D82" s="55" t="s">
        <v>12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B83" s="54" t="s">
        <v>132</v>
      </c>
      <c r="C83" s="54">
        <v>35.0</v>
      </c>
      <c r="D83" s="55" t="s">
        <v>40</v>
      </c>
      <c r="E83" s="59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B84" s="54" t="s">
        <v>133</v>
      </c>
      <c r="C84" s="54">
        <v>30.0</v>
      </c>
      <c r="D84" s="55" t="s">
        <v>40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B85" s="54" t="s">
        <v>134</v>
      </c>
      <c r="C85" s="54">
        <v>102.0</v>
      </c>
      <c r="D85" s="55" t="s">
        <v>40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B86" s="54" t="s">
        <v>60</v>
      </c>
      <c r="C86" s="54">
        <v>160.0</v>
      </c>
      <c r="D86" s="55" t="s">
        <v>66</v>
      </c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B87" s="54" t="s">
        <v>135</v>
      </c>
      <c r="C87" s="54">
        <v>89.0</v>
      </c>
      <c r="D87" s="55" t="s">
        <v>66</v>
      </c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53">
        <v>46281.0</v>
      </c>
      <c r="B88" s="54" t="s">
        <v>132</v>
      </c>
      <c r="C88" s="54">
        <v>37.0</v>
      </c>
      <c r="D88" s="55" t="s">
        <v>40</v>
      </c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B89" s="54" t="s">
        <v>93</v>
      </c>
      <c r="C89" s="54">
        <f>35</f>
        <v>35</v>
      </c>
      <c r="D89" s="55" t="s">
        <v>40</v>
      </c>
      <c r="E89" s="54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53">
        <v>46282.0</v>
      </c>
      <c r="B90" s="54" t="s">
        <v>136</v>
      </c>
      <c r="C90" s="54">
        <v>18.0</v>
      </c>
      <c r="D90" s="55" t="s">
        <v>40</v>
      </c>
      <c r="E90" s="54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B91" s="54" t="s">
        <v>137</v>
      </c>
      <c r="C91" s="54">
        <v>17.0</v>
      </c>
      <c r="D91" s="55" t="s">
        <v>40</v>
      </c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B92" s="54" t="s">
        <v>138</v>
      </c>
      <c r="C92" s="54">
        <v>700.0</v>
      </c>
      <c r="D92" s="55" t="s">
        <v>101</v>
      </c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53">
        <v>46283.0</v>
      </c>
      <c r="B93" s="54" t="s">
        <v>50</v>
      </c>
      <c r="C93" s="54">
        <v>60.0</v>
      </c>
      <c r="D93" s="55" t="s">
        <v>40</v>
      </c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B94" s="54" t="s">
        <v>139</v>
      </c>
      <c r="C94" s="54">
        <v>40.0</v>
      </c>
      <c r="D94" s="55" t="s">
        <v>40</v>
      </c>
      <c r="E94" s="59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B95" s="54" t="s">
        <v>91</v>
      </c>
      <c r="C95" s="54">
        <v>62.0</v>
      </c>
      <c r="D95" s="55" t="s">
        <v>40</v>
      </c>
      <c r="E95" s="59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B96" s="54" t="s">
        <v>140</v>
      </c>
      <c r="C96" s="54">
        <v>195.0</v>
      </c>
      <c r="D96" s="55" t="s">
        <v>40</v>
      </c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53">
        <v>46284.0</v>
      </c>
      <c r="B97" s="54" t="s">
        <v>89</v>
      </c>
      <c r="C97" s="54">
        <v>30.0</v>
      </c>
      <c r="D97" s="55" t="s">
        <v>40</v>
      </c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B98" s="54" t="s">
        <v>141</v>
      </c>
      <c r="C98" s="54">
        <v>91.0</v>
      </c>
      <c r="D98" s="55" t="s">
        <v>40</v>
      </c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B99" s="54" t="s">
        <v>93</v>
      </c>
      <c r="C99" s="54">
        <f>139-56</f>
        <v>83</v>
      </c>
      <c r="D99" s="55" t="s">
        <v>40</v>
      </c>
      <c r="E99" s="59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B100" s="54" t="s">
        <v>142</v>
      </c>
      <c r="C100" s="54">
        <v>-150.0</v>
      </c>
      <c r="D100" s="55" t="s">
        <v>40</v>
      </c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B101" s="54" t="s">
        <v>143</v>
      </c>
      <c r="C101" s="54">
        <v>100.0</v>
      </c>
      <c r="D101" s="55" t="s">
        <v>40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53">
        <v>46285.0</v>
      </c>
      <c r="B102" s="54" t="s">
        <v>144</v>
      </c>
      <c r="C102" s="54">
        <v>22.0</v>
      </c>
      <c r="D102" s="55" t="s">
        <v>40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B103" s="54" t="s">
        <v>145</v>
      </c>
      <c r="C103" s="54">
        <v>78.0</v>
      </c>
      <c r="D103" s="55" t="s">
        <v>40</v>
      </c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B104" s="54" t="s">
        <v>129</v>
      </c>
      <c r="C104" s="54">
        <v>40.0</v>
      </c>
      <c r="D104" s="55" t="s">
        <v>40</v>
      </c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B105" s="54" t="s">
        <v>146</v>
      </c>
      <c r="C105" s="54">
        <v>80.0</v>
      </c>
      <c r="D105" s="55" t="s">
        <v>40</v>
      </c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B106" s="54" t="s">
        <v>147</v>
      </c>
      <c r="C106" s="54">
        <v>56.0</v>
      </c>
      <c r="D106" s="55" t="s">
        <v>40</v>
      </c>
      <c r="E106" s="59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B107" s="54" t="s">
        <v>148</v>
      </c>
      <c r="C107" s="54">
        <v>76.0</v>
      </c>
      <c r="D107" s="55" t="s">
        <v>40</v>
      </c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53">
        <v>46286.0</v>
      </c>
      <c r="B108" s="54" t="s">
        <v>56</v>
      </c>
      <c r="C108" s="54">
        <v>16.0</v>
      </c>
      <c r="D108" s="55" t="s">
        <v>40</v>
      </c>
      <c r="E108" s="59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B109" s="54" t="s">
        <v>89</v>
      </c>
      <c r="C109" s="54">
        <v>20.0</v>
      </c>
      <c r="D109" s="55" t="s">
        <v>40</v>
      </c>
      <c r="E109" s="59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B110" s="54" t="s">
        <v>149</v>
      </c>
      <c r="C110" s="59">
        <f>165-34-34-34</f>
        <v>63</v>
      </c>
      <c r="D110" s="55" t="s">
        <v>40</v>
      </c>
      <c r="E110" s="54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53">
        <v>46287.0</v>
      </c>
      <c r="B111" s="54" t="s">
        <v>56</v>
      </c>
      <c r="C111" s="54">
        <v>16.0</v>
      </c>
      <c r="D111" s="55" t="s">
        <v>40</v>
      </c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B112" s="54" t="s">
        <v>150</v>
      </c>
      <c r="C112" s="54">
        <v>318.0</v>
      </c>
      <c r="D112" s="55" t="s">
        <v>40</v>
      </c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53">
        <v>46288.0</v>
      </c>
      <c r="B113" s="54" t="s">
        <v>37</v>
      </c>
      <c r="C113" s="54">
        <v>50.0</v>
      </c>
      <c r="D113" s="55" t="s">
        <v>40</v>
      </c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B114" s="54" t="s">
        <v>50</v>
      </c>
      <c r="C114" s="54">
        <v>37.0</v>
      </c>
      <c r="D114" s="55" t="s">
        <v>40</v>
      </c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B115" s="54" t="s">
        <v>80</v>
      </c>
      <c r="C115" s="54">
        <v>70.0</v>
      </c>
      <c r="D115" s="55" t="s">
        <v>40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B116" s="54" t="s">
        <v>151</v>
      </c>
      <c r="C116" s="54">
        <v>10.0</v>
      </c>
      <c r="D116" s="55" t="s">
        <v>40</v>
      </c>
      <c r="E116" s="54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53">
        <v>46289.0</v>
      </c>
      <c r="B117" s="54" t="s">
        <v>114</v>
      </c>
      <c r="C117" s="54">
        <v>20.0</v>
      </c>
      <c r="D117" s="55" t="s">
        <v>40</v>
      </c>
      <c r="E117" s="59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B118" s="54" t="s">
        <v>91</v>
      </c>
      <c r="C118" s="54">
        <v>65.0</v>
      </c>
      <c r="D118" s="55" t="s">
        <v>40</v>
      </c>
      <c r="E118" s="59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53">
        <v>46290.0</v>
      </c>
      <c r="B119" s="54" t="s">
        <v>152</v>
      </c>
      <c r="C119" s="54">
        <v>66.0</v>
      </c>
      <c r="D119" s="55" t="s">
        <v>40</v>
      </c>
      <c r="E119" s="54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B120" s="54" t="s">
        <v>56</v>
      </c>
      <c r="C120" s="54">
        <v>16.0</v>
      </c>
      <c r="D120" s="55" t="s">
        <v>40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B121" s="54" t="s">
        <v>130</v>
      </c>
      <c r="C121" s="54">
        <v>66.0</v>
      </c>
      <c r="D121" s="55" t="s">
        <v>40</v>
      </c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53">
        <v>46291.0</v>
      </c>
      <c r="B122" s="54" t="s">
        <v>50</v>
      </c>
      <c r="C122" s="54">
        <v>30.0</v>
      </c>
      <c r="D122" s="55" t="s">
        <v>40</v>
      </c>
      <c r="E122" s="54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B123" s="54" t="s">
        <v>56</v>
      </c>
      <c r="C123" s="54">
        <v>32.0</v>
      </c>
      <c r="D123" s="55" t="s">
        <v>40</v>
      </c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B124" s="54" t="s">
        <v>153</v>
      </c>
      <c r="C124" s="54">
        <v>70.0</v>
      </c>
      <c r="D124" s="55" t="s">
        <v>40</v>
      </c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B125" s="54" t="s">
        <v>154</v>
      </c>
      <c r="C125" s="54">
        <v>216.0</v>
      </c>
      <c r="D125" s="55" t="s">
        <v>40</v>
      </c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53">
        <v>46292.0</v>
      </c>
      <c r="B126" s="54" t="s">
        <v>89</v>
      </c>
      <c r="C126" s="54">
        <v>30.0</v>
      </c>
      <c r="D126" s="55" t="s">
        <v>40</v>
      </c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B127" s="54" t="s">
        <v>95</v>
      </c>
      <c r="C127" s="59">
        <f>130+86+66</f>
        <v>282</v>
      </c>
      <c r="D127" s="55" t="s">
        <v>40</v>
      </c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B128" s="54" t="s">
        <v>80</v>
      </c>
      <c r="C128" s="54">
        <v>95.0</v>
      </c>
      <c r="D128" s="55" t="s">
        <v>40</v>
      </c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53">
        <v>46293.0</v>
      </c>
      <c r="B129" s="54" t="s">
        <v>56</v>
      </c>
      <c r="C129" s="54">
        <v>16.0</v>
      </c>
      <c r="D129" s="55" t="s">
        <v>40</v>
      </c>
      <c r="E129" s="59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B130" s="54" t="s">
        <v>41</v>
      </c>
      <c r="C130" s="54">
        <v>50.0</v>
      </c>
      <c r="D130" s="55" t="s">
        <v>40</v>
      </c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B131" s="54" t="s">
        <v>80</v>
      </c>
      <c r="C131" s="54">
        <v>104.0</v>
      </c>
      <c r="D131" s="55" t="s">
        <v>40</v>
      </c>
      <c r="E131" s="59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85"/>
      <c r="B132" s="59"/>
      <c r="C132" s="59"/>
      <c r="D132" s="55" t="s">
        <v>40</v>
      </c>
      <c r="E132" s="59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85"/>
      <c r="B133" s="59"/>
      <c r="C133" s="59"/>
      <c r="D133" s="55" t="s">
        <v>40</v>
      </c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87"/>
      <c r="B134" s="59"/>
      <c r="C134" s="59"/>
      <c r="D134" s="55" t="s">
        <v>40</v>
      </c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87"/>
      <c r="B135" s="59"/>
      <c r="C135" s="59"/>
      <c r="D135" s="55" t="s">
        <v>40</v>
      </c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87"/>
      <c r="B136" s="59"/>
      <c r="C136" s="59"/>
      <c r="D136" s="55" t="s">
        <v>40</v>
      </c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87"/>
      <c r="B137" s="59"/>
      <c r="C137" s="59"/>
      <c r="D137" s="55" t="s">
        <v>40</v>
      </c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87"/>
      <c r="B138" s="59"/>
      <c r="C138" s="59"/>
      <c r="D138" s="55" t="s">
        <v>40</v>
      </c>
      <c r="E138" s="59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87"/>
      <c r="B139" s="59"/>
      <c r="C139" s="59"/>
      <c r="D139" s="55" t="s">
        <v>40</v>
      </c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87"/>
      <c r="B140" s="59"/>
      <c r="C140" s="59"/>
      <c r="D140" s="86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87"/>
      <c r="B141" s="59"/>
      <c r="C141" s="59"/>
      <c r="D141" s="86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87"/>
      <c r="B142" s="59"/>
      <c r="C142" s="59"/>
      <c r="D142" s="86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87"/>
      <c r="B143" s="59"/>
      <c r="C143" s="59"/>
      <c r="D143" s="86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87"/>
      <c r="B144" s="59"/>
      <c r="C144" s="59"/>
      <c r="D144" s="86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87"/>
      <c r="B145" s="59"/>
      <c r="C145" s="59"/>
      <c r="D145" s="86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87"/>
      <c r="B146" s="59"/>
      <c r="C146" s="59"/>
      <c r="D146" s="86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87"/>
      <c r="B147" s="59"/>
      <c r="C147" s="59"/>
      <c r="D147" s="86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87"/>
      <c r="B148" s="59"/>
      <c r="C148" s="59"/>
      <c r="D148" s="86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87"/>
      <c r="B149" s="59"/>
      <c r="C149" s="59"/>
      <c r="D149" s="86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87"/>
      <c r="B150" s="59"/>
      <c r="C150" s="59"/>
      <c r="D150" s="86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87"/>
      <c r="B151" s="59"/>
      <c r="C151" s="59"/>
      <c r="D151" s="86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87"/>
      <c r="B152" s="59"/>
      <c r="C152" s="59"/>
      <c r="D152" s="86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84"/>
      <c r="B153" s="50"/>
      <c r="C153" s="59"/>
      <c r="D153" s="86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84"/>
      <c r="B154" s="50"/>
      <c r="C154" s="59"/>
      <c r="D154" s="86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84"/>
      <c r="B155" s="50"/>
      <c r="C155" s="59"/>
      <c r="D155" s="86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84"/>
      <c r="B156" s="88"/>
      <c r="C156" s="89"/>
      <c r="D156" s="86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84"/>
      <c r="B157" s="88"/>
      <c r="C157" s="89"/>
      <c r="D157" s="84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84"/>
      <c r="B158" s="88"/>
      <c r="C158" s="89"/>
      <c r="D158" s="84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84"/>
      <c r="B159" s="88"/>
      <c r="C159" s="89"/>
      <c r="D159" s="84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84"/>
      <c r="B160" s="88"/>
      <c r="C160" s="89"/>
      <c r="D160" s="84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84"/>
      <c r="B161" s="88"/>
      <c r="C161" s="89"/>
      <c r="D161" s="84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84"/>
      <c r="B162" s="88"/>
      <c r="C162" s="89"/>
      <c r="D162" s="84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84"/>
      <c r="B163" s="88"/>
      <c r="C163" s="89"/>
      <c r="D163" s="84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84"/>
      <c r="B164" s="88"/>
      <c r="C164" s="89"/>
      <c r="D164" s="84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84"/>
      <c r="B165" s="88"/>
      <c r="C165" s="89"/>
      <c r="D165" s="84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84"/>
      <c r="B166" s="88"/>
      <c r="C166" s="89"/>
      <c r="D166" s="84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84"/>
      <c r="B167" s="88"/>
      <c r="C167" s="89"/>
      <c r="D167" s="84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84"/>
      <c r="B168" s="88"/>
      <c r="C168" s="89"/>
      <c r="D168" s="84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84"/>
      <c r="B169" s="88"/>
      <c r="C169" s="89"/>
      <c r="D169" s="84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84"/>
      <c r="B170" s="88"/>
      <c r="C170" s="89"/>
      <c r="D170" s="84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84"/>
      <c r="B171" s="88"/>
      <c r="C171" s="89"/>
      <c r="D171" s="84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84"/>
      <c r="B172" s="88"/>
      <c r="C172" s="89"/>
      <c r="D172" s="84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84"/>
      <c r="B173" s="88"/>
      <c r="C173" s="89"/>
      <c r="D173" s="84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84"/>
      <c r="B174" s="88"/>
      <c r="C174" s="89"/>
      <c r="D174" s="84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84"/>
      <c r="B175" s="88"/>
      <c r="C175" s="89"/>
      <c r="D175" s="84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84"/>
      <c r="B176" s="88"/>
      <c r="C176" s="89"/>
      <c r="D176" s="84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84"/>
      <c r="B177" s="88"/>
      <c r="C177" s="89"/>
      <c r="D177" s="84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84"/>
      <c r="B178" s="88"/>
      <c r="C178" s="89"/>
      <c r="D178" s="84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84"/>
      <c r="B179" s="88"/>
      <c r="C179" s="89"/>
      <c r="D179" s="84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84"/>
      <c r="B180" s="88"/>
      <c r="C180" s="89"/>
      <c r="D180" s="84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84"/>
      <c r="B181" s="88"/>
      <c r="C181" s="89"/>
      <c r="D181" s="84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84"/>
      <c r="B182" s="88"/>
      <c r="C182" s="89"/>
      <c r="D182" s="84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84"/>
      <c r="B183" s="88"/>
      <c r="C183" s="89"/>
      <c r="D183" s="84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84"/>
      <c r="B184" s="88"/>
      <c r="C184" s="89"/>
      <c r="D184" s="84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84"/>
      <c r="B185" s="88"/>
      <c r="C185" s="89"/>
      <c r="D185" s="84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84"/>
      <c r="B186" s="88"/>
      <c r="C186" s="89"/>
      <c r="D186" s="84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84"/>
      <c r="B187" s="88"/>
      <c r="C187" s="89"/>
      <c r="D187" s="84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84"/>
      <c r="B188" s="88"/>
      <c r="C188" s="89"/>
      <c r="D188" s="84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84"/>
      <c r="B189" s="88"/>
      <c r="C189" s="89"/>
      <c r="D189" s="84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84"/>
      <c r="B190" s="88"/>
      <c r="C190" s="89"/>
      <c r="D190" s="84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84"/>
      <c r="B191" s="88"/>
      <c r="C191" s="89"/>
      <c r="D191" s="84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84"/>
      <c r="B192" s="88"/>
      <c r="C192" s="89"/>
      <c r="D192" s="84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84"/>
      <c r="B193" s="88"/>
      <c r="C193" s="89"/>
      <c r="D193" s="84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84"/>
      <c r="B194" s="88"/>
      <c r="C194" s="89"/>
      <c r="D194" s="84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84"/>
      <c r="B195" s="88"/>
      <c r="C195" s="89"/>
      <c r="D195" s="84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84"/>
      <c r="B196" s="88"/>
      <c r="C196" s="89"/>
      <c r="D196" s="84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84"/>
      <c r="B197" s="88"/>
      <c r="C197" s="89"/>
      <c r="D197" s="84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84"/>
      <c r="B198" s="88"/>
      <c r="C198" s="89"/>
      <c r="D198" s="84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84"/>
      <c r="B199" s="88"/>
      <c r="C199" s="89"/>
      <c r="D199" s="84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84"/>
      <c r="B200" s="88"/>
      <c r="C200" s="89"/>
      <c r="D200" s="84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84"/>
      <c r="B201" s="88"/>
      <c r="C201" s="89"/>
      <c r="D201" s="84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84"/>
      <c r="B202" s="88"/>
      <c r="C202" s="89"/>
      <c r="D202" s="84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84"/>
      <c r="B203" s="88"/>
      <c r="C203" s="89"/>
      <c r="D203" s="84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84"/>
      <c r="B204" s="88"/>
      <c r="C204" s="89"/>
      <c r="D204" s="84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84"/>
      <c r="B205" s="88"/>
      <c r="C205" s="89"/>
      <c r="D205" s="84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84"/>
      <c r="B206" s="88"/>
      <c r="C206" s="89"/>
      <c r="D206" s="84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84"/>
      <c r="B207" s="88"/>
      <c r="C207" s="89"/>
      <c r="D207" s="84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84"/>
      <c r="B208" s="88"/>
      <c r="C208" s="89"/>
      <c r="D208" s="84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84"/>
      <c r="B209" s="88"/>
      <c r="C209" s="89"/>
      <c r="D209" s="84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84"/>
      <c r="B210" s="88"/>
      <c r="C210" s="89"/>
      <c r="D210" s="84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84"/>
      <c r="B211" s="88"/>
      <c r="C211" s="89"/>
      <c r="D211" s="84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84"/>
      <c r="B212" s="88"/>
      <c r="C212" s="89"/>
      <c r="D212" s="84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84"/>
      <c r="B213" s="88"/>
      <c r="C213" s="89"/>
      <c r="D213" s="84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84"/>
      <c r="B214" s="88"/>
      <c r="C214" s="89"/>
      <c r="D214" s="84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84"/>
      <c r="B215" s="88"/>
      <c r="C215" s="89"/>
      <c r="D215" s="84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84"/>
      <c r="B216" s="88"/>
      <c r="C216" s="89"/>
      <c r="D216" s="84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84"/>
      <c r="B217" s="88"/>
      <c r="C217" s="89"/>
      <c r="D217" s="84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84"/>
      <c r="B218" s="88"/>
      <c r="C218" s="89"/>
      <c r="D218" s="84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84"/>
      <c r="B219" s="88"/>
      <c r="C219" s="89"/>
      <c r="D219" s="84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84"/>
      <c r="B220" s="88"/>
      <c r="C220" s="89"/>
      <c r="D220" s="84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84"/>
      <c r="B221" s="88"/>
      <c r="C221" s="89"/>
      <c r="D221" s="84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84"/>
      <c r="B222" s="88"/>
      <c r="C222" s="89"/>
      <c r="D222" s="84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84"/>
      <c r="B223" s="88"/>
      <c r="C223" s="89"/>
      <c r="D223" s="84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84"/>
      <c r="B224" s="88"/>
      <c r="C224" s="89"/>
      <c r="D224" s="84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84"/>
      <c r="B225" s="88"/>
      <c r="C225" s="89"/>
      <c r="D225" s="84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84"/>
      <c r="B226" s="88"/>
      <c r="C226" s="89"/>
      <c r="D226" s="84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84"/>
      <c r="B227" s="88"/>
      <c r="C227" s="89"/>
      <c r="D227" s="84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84"/>
      <c r="B228" s="88"/>
      <c r="C228" s="89"/>
      <c r="D228" s="84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84"/>
      <c r="B229" s="88"/>
      <c r="C229" s="89"/>
      <c r="D229" s="84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84"/>
      <c r="B230" s="88"/>
      <c r="C230" s="90"/>
      <c r="D230" s="84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84"/>
      <c r="B231" s="88"/>
      <c r="C231" s="90"/>
      <c r="D231" s="84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84"/>
      <c r="B232" s="88"/>
      <c r="C232" s="90"/>
      <c r="D232" s="84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84"/>
      <c r="B233" s="88"/>
      <c r="C233" s="90"/>
      <c r="D233" s="84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84"/>
      <c r="B234" s="88"/>
      <c r="C234" s="90"/>
      <c r="D234" s="84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84"/>
      <c r="B235" s="88"/>
      <c r="C235" s="90"/>
      <c r="D235" s="84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84"/>
      <c r="B236" s="88"/>
      <c r="C236" s="90"/>
      <c r="D236" s="84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84"/>
      <c r="B237" s="88"/>
      <c r="C237" s="90"/>
      <c r="D237" s="84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84"/>
      <c r="B238" s="88"/>
      <c r="C238" s="90"/>
      <c r="D238" s="84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84"/>
      <c r="B239" s="88"/>
      <c r="C239" s="90"/>
      <c r="D239" s="84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84"/>
      <c r="B240" s="88"/>
      <c r="C240" s="90"/>
      <c r="D240" s="84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84"/>
      <c r="B241" s="88"/>
      <c r="C241" s="90"/>
      <c r="D241" s="84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84"/>
      <c r="B242" s="88"/>
      <c r="C242" s="90"/>
      <c r="D242" s="84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84"/>
      <c r="B243" s="88"/>
      <c r="C243" s="90"/>
      <c r="D243" s="84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84"/>
      <c r="B244" s="88"/>
      <c r="C244" s="90"/>
      <c r="D244" s="84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84"/>
      <c r="B245" s="88"/>
      <c r="C245" s="90"/>
      <c r="D245" s="84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84"/>
      <c r="B246" s="88"/>
      <c r="C246" s="90"/>
      <c r="D246" s="84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84"/>
      <c r="B247" s="88"/>
      <c r="C247" s="90"/>
      <c r="D247" s="84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84"/>
      <c r="B248" s="88"/>
      <c r="C248" s="90"/>
      <c r="D248" s="84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84"/>
      <c r="B249" s="88"/>
      <c r="C249" s="90"/>
      <c r="D249" s="84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84"/>
      <c r="B250" s="88"/>
      <c r="C250" s="90"/>
      <c r="D250" s="84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84"/>
      <c r="B251" s="88"/>
      <c r="C251" s="90"/>
      <c r="D251" s="84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84"/>
      <c r="B252" s="88"/>
      <c r="C252" s="90"/>
      <c r="D252" s="84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84"/>
      <c r="B253" s="88"/>
      <c r="C253" s="90"/>
      <c r="D253" s="84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84"/>
      <c r="B254" s="88"/>
      <c r="C254" s="90"/>
      <c r="D254" s="84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84"/>
      <c r="B255" s="88"/>
      <c r="C255" s="90"/>
      <c r="D255" s="84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84"/>
      <c r="B256" s="88"/>
      <c r="C256" s="90"/>
      <c r="D256" s="84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84"/>
      <c r="B257" s="88"/>
      <c r="C257" s="90"/>
      <c r="D257" s="84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84"/>
      <c r="B258" s="88"/>
      <c r="C258" s="90"/>
      <c r="D258" s="84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84"/>
      <c r="B259" s="88"/>
      <c r="C259" s="90"/>
      <c r="D259" s="84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84"/>
      <c r="B260" s="88"/>
      <c r="C260" s="90"/>
      <c r="D260" s="84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84"/>
      <c r="B261" s="88"/>
      <c r="C261" s="90"/>
      <c r="D261" s="84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84"/>
      <c r="B262" s="88"/>
      <c r="C262" s="90"/>
      <c r="D262" s="84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84"/>
      <c r="B263" s="88"/>
      <c r="C263" s="90"/>
      <c r="D263" s="84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84"/>
      <c r="B264" s="88"/>
      <c r="C264" s="90"/>
      <c r="D264" s="84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84"/>
      <c r="B265" s="88"/>
      <c r="C265" s="90"/>
      <c r="D265" s="84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84"/>
      <c r="B266" s="88"/>
      <c r="C266" s="90"/>
      <c r="D266" s="84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84"/>
      <c r="B267" s="88"/>
      <c r="C267" s="90"/>
      <c r="D267" s="84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84"/>
      <c r="B268" s="88"/>
      <c r="C268" s="90"/>
      <c r="D268" s="84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84"/>
      <c r="B269" s="88"/>
      <c r="C269" s="90"/>
      <c r="D269" s="84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84"/>
      <c r="B270" s="88"/>
      <c r="C270" s="90"/>
      <c r="D270" s="84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84"/>
      <c r="B271" s="88"/>
      <c r="C271" s="90"/>
      <c r="D271" s="84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84"/>
      <c r="B272" s="88"/>
      <c r="C272" s="90"/>
      <c r="D272" s="84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84"/>
      <c r="B273" s="88"/>
      <c r="C273" s="90"/>
      <c r="D273" s="84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84"/>
      <c r="B274" s="88"/>
      <c r="C274" s="90"/>
      <c r="D274" s="84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84"/>
      <c r="B275" s="88"/>
      <c r="C275" s="90"/>
      <c r="D275" s="84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84"/>
      <c r="B276" s="88"/>
      <c r="C276" s="90"/>
      <c r="D276" s="84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84"/>
      <c r="B277" s="88"/>
      <c r="C277" s="90"/>
      <c r="D277" s="84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84"/>
      <c r="B278" s="88"/>
      <c r="C278" s="90"/>
      <c r="D278" s="84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84"/>
      <c r="B279" s="88"/>
      <c r="C279" s="90"/>
      <c r="D279" s="84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84"/>
      <c r="B280" s="88"/>
      <c r="C280" s="90"/>
      <c r="D280" s="84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84"/>
      <c r="B281" s="88"/>
      <c r="C281" s="90"/>
      <c r="D281" s="84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84"/>
      <c r="B282" s="88"/>
      <c r="C282" s="90"/>
      <c r="D282" s="84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84"/>
      <c r="B283" s="88"/>
      <c r="C283" s="90"/>
      <c r="D283" s="84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84"/>
      <c r="B284" s="88"/>
      <c r="C284" s="90"/>
      <c r="D284" s="84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84"/>
      <c r="B285" s="88"/>
      <c r="C285" s="90"/>
      <c r="D285" s="84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84"/>
      <c r="B286" s="88"/>
      <c r="C286" s="90"/>
      <c r="D286" s="84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84"/>
      <c r="B287" s="88"/>
      <c r="C287" s="90"/>
      <c r="D287" s="84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84"/>
      <c r="B288" s="88"/>
      <c r="C288" s="90"/>
      <c r="D288" s="84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84"/>
      <c r="B289" s="88"/>
      <c r="C289" s="90"/>
      <c r="D289" s="84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84"/>
      <c r="B290" s="88"/>
      <c r="C290" s="90"/>
      <c r="D290" s="84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84"/>
      <c r="B291" s="88"/>
      <c r="C291" s="90"/>
      <c r="D291" s="84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84"/>
      <c r="B292" s="88"/>
      <c r="C292" s="90"/>
      <c r="D292" s="84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84"/>
      <c r="B293" s="88"/>
      <c r="C293" s="90"/>
      <c r="D293" s="84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84"/>
      <c r="B294" s="88"/>
      <c r="C294" s="90"/>
      <c r="D294" s="84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84"/>
      <c r="B295" s="88"/>
      <c r="C295" s="90"/>
      <c r="D295" s="84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84"/>
      <c r="B296" s="88"/>
      <c r="C296" s="90"/>
      <c r="D296" s="84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84"/>
      <c r="B297" s="88"/>
      <c r="C297" s="90"/>
      <c r="D297" s="84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84"/>
      <c r="B298" s="88"/>
      <c r="C298" s="90"/>
      <c r="D298" s="84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84"/>
      <c r="B299" s="88"/>
      <c r="C299" s="90"/>
      <c r="D299" s="84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84"/>
      <c r="B300" s="88"/>
      <c r="C300" s="90"/>
      <c r="D300" s="84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84"/>
      <c r="B301" s="88"/>
      <c r="C301" s="90"/>
      <c r="D301" s="84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84"/>
      <c r="B302" s="88"/>
      <c r="C302" s="90"/>
      <c r="D302" s="84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84"/>
      <c r="B303" s="88"/>
      <c r="C303" s="90"/>
      <c r="D303" s="84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84"/>
      <c r="B304" s="88"/>
      <c r="C304" s="90"/>
      <c r="D304" s="84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84"/>
      <c r="B305" s="88"/>
      <c r="C305" s="90"/>
      <c r="D305" s="84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84"/>
      <c r="B306" s="88"/>
      <c r="C306" s="90"/>
      <c r="D306" s="84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84"/>
      <c r="B307" s="88"/>
      <c r="C307" s="90"/>
      <c r="D307" s="84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84"/>
      <c r="B308" s="88"/>
      <c r="C308" s="90"/>
      <c r="D308" s="84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84"/>
      <c r="B309" s="88"/>
      <c r="C309" s="90"/>
      <c r="D309" s="84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84"/>
      <c r="B310" s="88"/>
      <c r="C310" s="90"/>
      <c r="D310" s="84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84"/>
      <c r="B311" s="88"/>
      <c r="C311" s="90"/>
      <c r="D311" s="84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84"/>
      <c r="B312" s="88"/>
      <c r="C312" s="90"/>
      <c r="D312" s="84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84"/>
      <c r="B313" s="88"/>
      <c r="C313" s="90"/>
      <c r="D313" s="84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84"/>
      <c r="B314" s="88"/>
      <c r="C314" s="90"/>
      <c r="D314" s="84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84"/>
      <c r="B315" s="88"/>
      <c r="C315" s="90"/>
      <c r="D315" s="84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84"/>
      <c r="B316" s="88"/>
      <c r="C316" s="90"/>
      <c r="D316" s="84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84"/>
      <c r="B317" s="88"/>
      <c r="C317" s="90"/>
      <c r="D317" s="84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84"/>
      <c r="B318" s="88"/>
      <c r="C318" s="90"/>
      <c r="D318" s="84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84"/>
      <c r="B319" s="88"/>
      <c r="C319" s="90"/>
      <c r="D319" s="84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84"/>
      <c r="B320" s="88"/>
      <c r="C320" s="90"/>
      <c r="D320" s="84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84"/>
      <c r="B321" s="88"/>
      <c r="C321" s="90"/>
      <c r="D321" s="84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84"/>
      <c r="B322" s="88"/>
      <c r="C322" s="90"/>
      <c r="D322" s="84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84"/>
      <c r="B323" s="88"/>
      <c r="C323" s="90"/>
      <c r="D323" s="84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84"/>
      <c r="B324" s="88"/>
      <c r="C324" s="90"/>
      <c r="D324" s="84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84"/>
      <c r="B325" s="88"/>
      <c r="C325" s="90"/>
      <c r="D325" s="84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84"/>
      <c r="B326" s="88"/>
      <c r="C326" s="90"/>
      <c r="D326" s="84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84"/>
      <c r="B327" s="88"/>
      <c r="C327" s="90"/>
      <c r="D327" s="84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84"/>
      <c r="B328" s="88"/>
      <c r="C328" s="90"/>
      <c r="D328" s="84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84"/>
      <c r="B329" s="88"/>
      <c r="C329" s="90"/>
      <c r="D329" s="84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84"/>
      <c r="B330" s="88"/>
      <c r="C330" s="90"/>
      <c r="D330" s="84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84"/>
      <c r="B331" s="88"/>
      <c r="C331" s="90"/>
      <c r="D331" s="84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84"/>
      <c r="B332" s="88"/>
      <c r="C332" s="90"/>
      <c r="D332" s="84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84"/>
      <c r="B333" s="88"/>
      <c r="C333" s="90"/>
      <c r="D333" s="84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84"/>
      <c r="B334" s="88"/>
      <c r="C334" s="90"/>
      <c r="D334" s="84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84"/>
      <c r="B335" s="88"/>
      <c r="C335" s="90"/>
      <c r="D335" s="84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84"/>
      <c r="B336" s="88"/>
      <c r="C336" s="90"/>
      <c r="D336" s="84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84"/>
      <c r="B337" s="88"/>
      <c r="C337" s="90"/>
      <c r="D337" s="84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84"/>
      <c r="B338" s="88"/>
      <c r="C338" s="90"/>
      <c r="D338" s="84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84"/>
      <c r="B339" s="88"/>
      <c r="C339" s="90"/>
      <c r="D339" s="84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84"/>
      <c r="B340" s="88"/>
      <c r="C340" s="90"/>
      <c r="D340" s="84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84"/>
      <c r="B341" s="88"/>
      <c r="C341" s="90"/>
      <c r="D341" s="84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84"/>
      <c r="B342" s="88"/>
      <c r="C342" s="90"/>
      <c r="D342" s="84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84"/>
      <c r="B343" s="88"/>
      <c r="C343" s="90"/>
      <c r="D343" s="84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84"/>
      <c r="B344" s="88"/>
      <c r="C344" s="90"/>
      <c r="D344" s="84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84"/>
      <c r="B345" s="88"/>
      <c r="C345" s="90"/>
      <c r="D345" s="84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84"/>
      <c r="B346" s="88"/>
      <c r="C346" s="90"/>
      <c r="D346" s="84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84"/>
      <c r="B347" s="88"/>
      <c r="C347" s="90"/>
      <c r="D347" s="84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84"/>
      <c r="B348" s="88"/>
      <c r="C348" s="90"/>
      <c r="D348" s="84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84"/>
      <c r="B349" s="88"/>
      <c r="C349" s="90"/>
      <c r="D349" s="84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84"/>
      <c r="B350" s="88"/>
      <c r="C350" s="90"/>
      <c r="D350" s="84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84"/>
      <c r="B351" s="88"/>
      <c r="C351" s="90"/>
      <c r="D351" s="84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84"/>
      <c r="B352" s="88"/>
      <c r="C352" s="90"/>
      <c r="D352" s="84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84"/>
      <c r="B353" s="88"/>
      <c r="C353" s="90"/>
      <c r="D353" s="84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84"/>
      <c r="B354" s="88"/>
      <c r="C354" s="90"/>
      <c r="D354" s="84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84"/>
      <c r="B355" s="88"/>
      <c r="C355" s="90"/>
      <c r="D355" s="84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84"/>
      <c r="B356" s="88"/>
      <c r="C356" s="90"/>
      <c r="D356" s="84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84"/>
      <c r="B357" s="88"/>
      <c r="C357" s="90"/>
      <c r="D357" s="84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84"/>
      <c r="B358" s="88"/>
      <c r="C358" s="90"/>
      <c r="D358" s="84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84"/>
      <c r="B359" s="88"/>
      <c r="C359" s="90"/>
      <c r="D359" s="84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84"/>
      <c r="B360" s="88"/>
      <c r="C360" s="90"/>
      <c r="D360" s="84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84"/>
      <c r="B361" s="88"/>
      <c r="C361" s="90"/>
      <c r="D361" s="84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84"/>
      <c r="B362" s="88"/>
      <c r="C362" s="90"/>
      <c r="D362" s="84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84"/>
      <c r="B363" s="88"/>
      <c r="C363" s="90"/>
      <c r="D363" s="84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84"/>
      <c r="B364" s="88"/>
      <c r="C364" s="90"/>
      <c r="D364" s="84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84"/>
      <c r="B365" s="88"/>
      <c r="C365" s="90"/>
      <c r="D365" s="84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84"/>
      <c r="B366" s="88"/>
      <c r="C366" s="90"/>
      <c r="D366" s="84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84"/>
      <c r="B367" s="88"/>
      <c r="C367" s="90"/>
      <c r="D367" s="84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84"/>
      <c r="B368" s="88"/>
      <c r="C368" s="90"/>
      <c r="D368" s="84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84"/>
      <c r="B369" s="88"/>
      <c r="C369" s="90"/>
      <c r="D369" s="84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84"/>
      <c r="B370" s="88"/>
      <c r="C370" s="90"/>
      <c r="D370" s="84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84"/>
      <c r="B371" s="88"/>
      <c r="C371" s="90"/>
      <c r="D371" s="84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84"/>
      <c r="B372" s="88"/>
      <c r="C372" s="90"/>
      <c r="D372" s="84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84"/>
      <c r="B373" s="88"/>
      <c r="C373" s="90"/>
      <c r="D373" s="84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84"/>
      <c r="B374" s="88"/>
      <c r="C374" s="90"/>
      <c r="D374" s="84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84"/>
      <c r="B375" s="88"/>
      <c r="C375" s="90"/>
      <c r="D375" s="84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84"/>
      <c r="B376" s="88"/>
      <c r="C376" s="90"/>
      <c r="D376" s="84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84"/>
      <c r="B377" s="88"/>
      <c r="C377" s="90"/>
      <c r="D377" s="84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84"/>
      <c r="B378" s="88"/>
      <c r="C378" s="90"/>
      <c r="D378" s="84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84"/>
      <c r="B379" s="88"/>
      <c r="C379" s="90"/>
      <c r="D379" s="84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84"/>
      <c r="B380" s="88"/>
      <c r="C380" s="90"/>
      <c r="D380" s="84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84"/>
      <c r="B381" s="88"/>
      <c r="C381" s="90"/>
      <c r="D381" s="84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84"/>
      <c r="B382" s="88"/>
      <c r="C382" s="90"/>
      <c r="D382" s="84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84"/>
      <c r="B383" s="88"/>
      <c r="C383" s="90"/>
      <c r="D383" s="84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84"/>
      <c r="B384" s="88"/>
      <c r="C384" s="90"/>
      <c r="D384" s="84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84"/>
      <c r="B385" s="88"/>
      <c r="C385" s="90"/>
      <c r="D385" s="84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84"/>
      <c r="B386" s="88"/>
      <c r="C386" s="90"/>
      <c r="D386" s="84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84"/>
      <c r="B387" s="88"/>
      <c r="C387" s="90"/>
      <c r="D387" s="84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84"/>
      <c r="B388" s="88"/>
      <c r="C388" s="90"/>
      <c r="D388" s="84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84"/>
      <c r="B389" s="88"/>
      <c r="C389" s="90"/>
      <c r="D389" s="84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84"/>
      <c r="B390" s="88"/>
      <c r="C390" s="90"/>
      <c r="D390" s="84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84"/>
      <c r="B391" s="88"/>
      <c r="C391" s="90"/>
      <c r="D391" s="84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84"/>
      <c r="B392" s="88"/>
      <c r="C392" s="90"/>
      <c r="D392" s="84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84"/>
      <c r="B393" s="88"/>
      <c r="C393" s="90"/>
      <c r="D393" s="84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84"/>
      <c r="B394" s="88"/>
      <c r="C394" s="90"/>
      <c r="D394" s="84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84"/>
      <c r="B395" s="88"/>
      <c r="C395" s="90"/>
      <c r="D395" s="84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84"/>
      <c r="B396" s="88"/>
      <c r="C396" s="90"/>
      <c r="D396" s="84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84"/>
      <c r="B397" s="88"/>
      <c r="C397" s="90"/>
      <c r="D397" s="84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84"/>
      <c r="B398" s="88"/>
      <c r="C398" s="90"/>
      <c r="D398" s="84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84"/>
      <c r="B399" s="88"/>
      <c r="C399" s="90"/>
      <c r="D399" s="84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84"/>
      <c r="B400" s="88"/>
      <c r="C400" s="90"/>
      <c r="D400" s="84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84"/>
      <c r="B401" s="88"/>
      <c r="C401" s="90"/>
      <c r="D401" s="84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84"/>
      <c r="B402" s="88"/>
      <c r="C402" s="90"/>
      <c r="D402" s="84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84"/>
      <c r="B403" s="88"/>
      <c r="C403" s="90"/>
      <c r="D403" s="84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84"/>
      <c r="B404" s="88"/>
      <c r="C404" s="90"/>
      <c r="D404" s="84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84"/>
      <c r="B405" s="88"/>
      <c r="C405" s="90"/>
      <c r="D405" s="84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84"/>
      <c r="B406" s="88"/>
      <c r="C406" s="90"/>
      <c r="D406" s="84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84"/>
      <c r="B407" s="88"/>
      <c r="C407" s="90"/>
      <c r="D407" s="84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84"/>
      <c r="B408" s="88"/>
      <c r="C408" s="90"/>
      <c r="D408" s="84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84"/>
      <c r="B409" s="88"/>
      <c r="C409" s="90"/>
      <c r="D409" s="84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84"/>
      <c r="B410" s="88"/>
      <c r="C410" s="90"/>
      <c r="D410" s="84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84"/>
      <c r="B411" s="88"/>
      <c r="C411" s="90"/>
      <c r="D411" s="84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84"/>
      <c r="B412" s="88"/>
      <c r="C412" s="90"/>
      <c r="D412" s="84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84"/>
      <c r="B413" s="88"/>
      <c r="C413" s="90"/>
      <c r="D413" s="84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84"/>
      <c r="B414" s="88"/>
      <c r="C414" s="90"/>
      <c r="D414" s="84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84"/>
      <c r="B415" s="88"/>
      <c r="C415" s="90"/>
      <c r="D415" s="84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84"/>
      <c r="B416" s="88"/>
      <c r="C416" s="90"/>
      <c r="D416" s="84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84"/>
      <c r="B417" s="88"/>
      <c r="C417" s="90"/>
      <c r="D417" s="84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84"/>
      <c r="B418" s="88"/>
      <c r="C418" s="90"/>
      <c r="D418" s="84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84"/>
      <c r="B419" s="88"/>
      <c r="C419" s="90"/>
      <c r="D419" s="84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84"/>
      <c r="B420" s="88"/>
      <c r="C420" s="90"/>
      <c r="D420" s="84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84"/>
      <c r="B421" s="88"/>
      <c r="C421" s="90"/>
      <c r="D421" s="84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84"/>
      <c r="B422" s="88"/>
      <c r="C422" s="90"/>
      <c r="D422" s="84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84"/>
      <c r="B423" s="88"/>
      <c r="C423" s="90"/>
      <c r="D423" s="84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84"/>
      <c r="B424" s="88"/>
      <c r="C424" s="90"/>
      <c r="D424" s="84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84"/>
      <c r="B425" s="88"/>
      <c r="C425" s="90"/>
      <c r="D425" s="84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84"/>
      <c r="B426" s="88"/>
      <c r="C426" s="90"/>
      <c r="D426" s="84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84"/>
      <c r="B427" s="88"/>
      <c r="C427" s="90"/>
      <c r="D427" s="84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84"/>
      <c r="B428" s="88"/>
      <c r="C428" s="90"/>
      <c r="D428" s="84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84"/>
      <c r="B429" s="88"/>
      <c r="C429" s="90"/>
      <c r="D429" s="84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84"/>
      <c r="B430" s="88"/>
      <c r="C430" s="90"/>
      <c r="D430" s="84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84"/>
      <c r="B431" s="88"/>
      <c r="C431" s="90"/>
      <c r="D431" s="84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84"/>
      <c r="B432" s="88"/>
      <c r="C432" s="90"/>
      <c r="D432" s="84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84"/>
      <c r="B433" s="88"/>
      <c r="C433" s="90"/>
      <c r="D433" s="84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84"/>
      <c r="B434" s="88"/>
      <c r="C434" s="90"/>
      <c r="D434" s="84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84"/>
      <c r="B435" s="88"/>
      <c r="C435" s="90"/>
      <c r="D435" s="84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84"/>
      <c r="B436" s="88"/>
      <c r="C436" s="90"/>
      <c r="D436" s="84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84"/>
      <c r="B437" s="88"/>
      <c r="C437" s="90"/>
      <c r="D437" s="84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84"/>
      <c r="B438" s="88"/>
      <c r="C438" s="90"/>
      <c r="D438" s="84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84"/>
      <c r="B439" s="88"/>
      <c r="C439" s="90"/>
      <c r="D439" s="84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84"/>
      <c r="B440" s="88"/>
      <c r="C440" s="90"/>
      <c r="D440" s="84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84"/>
      <c r="B441" s="88"/>
      <c r="C441" s="90"/>
      <c r="D441" s="84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84"/>
      <c r="B442" s="88"/>
      <c r="C442" s="90"/>
      <c r="D442" s="84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84"/>
      <c r="B443" s="88"/>
      <c r="C443" s="90"/>
      <c r="D443" s="84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84"/>
      <c r="B444" s="88"/>
      <c r="C444" s="90"/>
      <c r="D444" s="84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84"/>
      <c r="B445" s="88"/>
      <c r="C445" s="90"/>
      <c r="D445" s="84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84"/>
      <c r="B446" s="88"/>
      <c r="C446" s="90"/>
      <c r="D446" s="84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84"/>
      <c r="B447" s="88"/>
      <c r="C447" s="90"/>
      <c r="D447" s="84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84"/>
      <c r="B448" s="88"/>
      <c r="C448" s="90"/>
      <c r="D448" s="84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84"/>
      <c r="B449" s="88"/>
      <c r="C449" s="90"/>
      <c r="D449" s="84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84"/>
      <c r="B450" s="88"/>
      <c r="C450" s="90"/>
      <c r="D450" s="84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84"/>
      <c r="B451" s="88"/>
      <c r="C451" s="90"/>
      <c r="D451" s="84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84"/>
      <c r="B452" s="88"/>
      <c r="C452" s="90"/>
      <c r="D452" s="84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84"/>
      <c r="B453" s="88"/>
      <c r="C453" s="90"/>
      <c r="D453" s="84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84"/>
      <c r="B454" s="88"/>
      <c r="C454" s="90"/>
      <c r="D454" s="84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84"/>
      <c r="B455" s="88"/>
      <c r="C455" s="90"/>
      <c r="D455" s="84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84"/>
      <c r="B456" s="88"/>
      <c r="C456" s="90"/>
      <c r="D456" s="84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84"/>
      <c r="B457" s="88"/>
      <c r="C457" s="90"/>
      <c r="D457" s="84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84"/>
      <c r="B458" s="88"/>
      <c r="C458" s="90"/>
      <c r="D458" s="84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84"/>
      <c r="B459" s="88"/>
      <c r="C459" s="90"/>
      <c r="D459" s="84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84"/>
      <c r="B460" s="88"/>
      <c r="C460" s="90"/>
      <c r="D460" s="84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84"/>
      <c r="B461" s="88"/>
      <c r="C461" s="90"/>
      <c r="D461" s="84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84"/>
      <c r="B462" s="88"/>
      <c r="C462" s="90"/>
      <c r="D462" s="84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84"/>
      <c r="B463" s="88"/>
      <c r="C463" s="90"/>
      <c r="D463" s="84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84"/>
      <c r="B464" s="88"/>
      <c r="C464" s="90"/>
      <c r="D464" s="84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84"/>
      <c r="B465" s="88"/>
      <c r="C465" s="90"/>
      <c r="D465" s="84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84"/>
      <c r="B466" s="88"/>
      <c r="C466" s="90"/>
      <c r="D466" s="84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84"/>
      <c r="B467" s="88"/>
      <c r="C467" s="90"/>
      <c r="D467" s="84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84"/>
      <c r="B468" s="88"/>
      <c r="C468" s="90"/>
      <c r="D468" s="84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84"/>
      <c r="B469" s="88"/>
      <c r="C469" s="90"/>
      <c r="D469" s="84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84"/>
      <c r="B470" s="88"/>
      <c r="C470" s="90"/>
      <c r="D470" s="84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84"/>
      <c r="B471" s="88"/>
      <c r="C471" s="90"/>
      <c r="D471" s="84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84"/>
      <c r="B472" s="88"/>
      <c r="C472" s="90"/>
      <c r="D472" s="84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84"/>
      <c r="B473" s="88"/>
      <c r="C473" s="90"/>
      <c r="D473" s="84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84"/>
      <c r="B474" s="88"/>
      <c r="C474" s="90"/>
      <c r="D474" s="84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84"/>
      <c r="B475" s="88"/>
      <c r="C475" s="90"/>
      <c r="D475" s="84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84"/>
      <c r="B476" s="88"/>
      <c r="C476" s="90"/>
      <c r="D476" s="84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84"/>
      <c r="B477" s="88"/>
      <c r="C477" s="90"/>
      <c r="D477" s="84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84"/>
      <c r="B478" s="88"/>
      <c r="C478" s="90"/>
      <c r="D478" s="84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84"/>
      <c r="B479" s="88"/>
      <c r="C479" s="90"/>
      <c r="D479" s="84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84"/>
      <c r="B480" s="88"/>
      <c r="C480" s="90"/>
      <c r="D480" s="84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84"/>
      <c r="B481" s="88"/>
      <c r="C481" s="90"/>
      <c r="D481" s="84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84"/>
      <c r="B482" s="88"/>
      <c r="C482" s="90"/>
      <c r="D482" s="84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84"/>
      <c r="B483" s="88"/>
      <c r="C483" s="90"/>
      <c r="D483" s="84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84"/>
      <c r="B484" s="88"/>
      <c r="C484" s="90"/>
      <c r="D484" s="84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84"/>
      <c r="B485" s="88"/>
      <c r="C485" s="90"/>
      <c r="D485" s="84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84"/>
      <c r="B486" s="88"/>
      <c r="C486" s="90"/>
      <c r="D486" s="84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84"/>
      <c r="B487" s="88"/>
      <c r="C487" s="90"/>
      <c r="D487" s="84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84"/>
      <c r="B488" s="88"/>
      <c r="C488" s="90"/>
      <c r="D488" s="84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84"/>
      <c r="B489" s="88"/>
      <c r="C489" s="90"/>
      <c r="D489" s="84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84"/>
      <c r="B490" s="88"/>
      <c r="C490" s="90"/>
      <c r="D490" s="84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84"/>
      <c r="B491" s="88"/>
      <c r="C491" s="90"/>
      <c r="D491" s="84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84"/>
      <c r="B492" s="88"/>
      <c r="C492" s="90"/>
      <c r="D492" s="84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84"/>
      <c r="B493" s="88"/>
      <c r="C493" s="90"/>
      <c r="D493" s="84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84"/>
      <c r="B494" s="88"/>
      <c r="C494" s="90"/>
      <c r="D494" s="84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84"/>
      <c r="B495" s="88"/>
      <c r="C495" s="90"/>
      <c r="D495" s="84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84"/>
      <c r="B496" s="88"/>
      <c r="C496" s="90"/>
      <c r="D496" s="84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84"/>
      <c r="B497" s="88"/>
      <c r="C497" s="90"/>
      <c r="D497" s="84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84"/>
      <c r="B498" s="88"/>
      <c r="C498" s="90"/>
      <c r="D498" s="84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84"/>
      <c r="B499" s="88"/>
      <c r="C499" s="90"/>
      <c r="D499" s="84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84"/>
      <c r="B500" s="88"/>
      <c r="C500" s="90"/>
      <c r="D500" s="84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84"/>
      <c r="B501" s="88"/>
      <c r="C501" s="90"/>
      <c r="D501" s="84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84"/>
      <c r="B502" s="88"/>
      <c r="C502" s="90"/>
      <c r="D502" s="84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84"/>
      <c r="B503" s="88"/>
      <c r="C503" s="90"/>
      <c r="D503" s="84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84"/>
      <c r="B504" s="88"/>
      <c r="C504" s="90"/>
      <c r="D504" s="84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84"/>
      <c r="B505" s="88"/>
      <c r="C505" s="90"/>
      <c r="D505" s="84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84"/>
      <c r="B506" s="88"/>
      <c r="C506" s="90"/>
      <c r="D506" s="84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84"/>
      <c r="B507" s="88"/>
      <c r="C507" s="90"/>
      <c r="D507" s="84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84"/>
      <c r="B508" s="88"/>
      <c r="C508" s="90"/>
      <c r="D508" s="84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84"/>
      <c r="B509" s="88"/>
      <c r="C509" s="90"/>
      <c r="D509" s="84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84"/>
      <c r="B510" s="88"/>
      <c r="C510" s="90"/>
      <c r="D510" s="84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84"/>
      <c r="B511" s="88"/>
      <c r="C511" s="90"/>
      <c r="D511" s="84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84"/>
      <c r="B512" s="88"/>
      <c r="C512" s="90"/>
      <c r="D512" s="84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84"/>
      <c r="B513" s="88"/>
      <c r="C513" s="90"/>
      <c r="D513" s="84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84"/>
      <c r="B514" s="88"/>
      <c r="C514" s="90"/>
      <c r="D514" s="84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84"/>
      <c r="B515" s="88"/>
      <c r="C515" s="90"/>
      <c r="D515" s="84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84"/>
      <c r="B516" s="88"/>
      <c r="C516" s="90"/>
      <c r="D516" s="84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84"/>
      <c r="B517" s="88"/>
      <c r="C517" s="90"/>
      <c r="D517" s="84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84"/>
      <c r="B518" s="88"/>
      <c r="C518" s="90"/>
      <c r="D518" s="84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84"/>
      <c r="B519" s="88"/>
      <c r="C519" s="90"/>
      <c r="D519" s="84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84"/>
      <c r="B520" s="88"/>
      <c r="C520" s="90"/>
      <c r="D520" s="84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84"/>
      <c r="B521" s="88"/>
      <c r="C521" s="90"/>
      <c r="D521" s="84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84"/>
      <c r="B522" s="88"/>
      <c r="C522" s="90"/>
      <c r="D522" s="84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84"/>
      <c r="B523" s="88"/>
      <c r="C523" s="90"/>
      <c r="D523" s="84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84"/>
      <c r="B524" s="88"/>
      <c r="C524" s="90"/>
      <c r="D524" s="84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84"/>
      <c r="B525" s="88"/>
      <c r="C525" s="90"/>
      <c r="D525" s="84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84"/>
      <c r="B526" s="88"/>
      <c r="C526" s="90"/>
      <c r="D526" s="84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84"/>
      <c r="B527" s="88"/>
      <c r="C527" s="90"/>
      <c r="D527" s="84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84"/>
      <c r="B528" s="88"/>
      <c r="C528" s="90"/>
      <c r="D528" s="84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84"/>
      <c r="B529" s="88"/>
      <c r="C529" s="90"/>
      <c r="D529" s="84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84"/>
      <c r="B530" s="88"/>
      <c r="C530" s="90"/>
      <c r="D530" s="84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84"/>
      <c r="B531" s="88"/>
      <c r="C531" s="90"/>
      <c r="D531" s="84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84"/>
      <c r="B532" s="88"/>
      <c r="C532" s="90"/>
      <c r="D532" s="84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84"/>
      <c r="B533" s="88"/>
      <c r="C533" s="90"/>
      <c r="D533" s="84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84"/>
      <c r="B534" s="88"/>
      <c r="C534" s="90"/>
      <c r="D534" s="84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84"/>
      <c r="B535" s="88"/>
      <c r="C535" s="90"/>
      <c r="D535" s="84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84"/>
      <c r="B536" s="88"/>
      <c r="C536" s="90"/>
      <c r="D536" s="84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84"/>
      <c r="B537" s="88"/>
      <c r="C537" s="90"/>
      <c r="D537" s="84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84"/>
      <c r="B538" s="88"/>
      <c r="C538" s="90"/>
      <c r="D538" s="84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84"/>
      <c r="B539" s="88"/>
      <c r="C539" s="90"/>
      <c r="D539" s="84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84"/>
      <c r="B540" s="88"/>
      <c r="C540" s="90"/>
      <c r="D540" s="84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84"/>
      <c r="B541" s="88"/>
      <c r="C541" s="90"/>
      <c r="D541" s="84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84"/>
      <c r="B542" s="88"/>
      <c r="C542" s="90"/>
      <c r="D542" s="84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84"/>
      <c r="B543" s="88"/>
      <c r="C543" s="90"/>
      <c r="D543" s="84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84"/>
      <c r="B544" s="88"/>
      <c r="C544" s="90"/>
      <c r="D544" s="84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84"/>
      <c r="B545" s="88"/>
      <c r="C545" s="90"/>
      <c r="D545" s="84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84"/>
      <c r="B546" s="88"/>
      <c r="C546" s="90"/>
      <c r="D546" s="84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84"/>
      <c r="B547" s="88"/>
      <c r="C547" s="90"/>
      <c r="D547" s="84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84"/>
      <c r="B548" s="88"/>
      <c r="C548" s="90"/>
      <c r="D548" s="84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84"/>
      <c r="B549" s="88"/>
      <c r="C549" s="90"/>
      <c r="D549" s="84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84"/>
      <c r="B550" s="88"/>
      <c r="C550" s="90"/>
      <c r="D550" s="84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84"/>
      <c r="B551" s="88"/>
      <c r="C551" s="90"/>
      <c r="D551" s="84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84"/>
      <c r="B552" s="88"/>
      <c r="C552" s="90"/>
      <c r="D552" s="84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84"/>
      <c r="B553" s="88"/>
      <c r="C553" s="90"/>
      <c r="D553" s="84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84"/>
      <c r="B554" s="88"/>
      <c r="C554" s="90"/>
      <c r="D554" s="84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84"/>
      <c r="B555" s="88"/>
      <c r="C555" s="90"/>
      <c r="D555" s="84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84"/>
      <c r="B556" s="88"/>
      <c r="C556" s="90"/>
      <c r="D556" s="84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84"/>
      <c r="B557" s="88"/>
      <c r="C557" s="90"/>
      <c r="D557" s="84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84"/>
      <c r="B558" s="88"/>
      <c r="C558" s="90"/>
      <c r="D558" s="84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84"/>
      <c r="B559" s="88"/>
      <c r="C559" s="90"/>
      <c r="D559" s="84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84"/>
      <c r="B560" s="88"/>
      <c r="C560" s="90"/>
      <c r="D560" s="84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84"/>
      <c r="B561" s="88"/>
      <c r="C561" s="90"/>
      <c r="D561" s="84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84"/>
      <c r="B562" s="88"/>
      <c r="C562" s="90"/>
      <c r="D562" s="84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84"/>
      <c r="B563" s="88"/>
      <c r="C563" s="90"/>
      <c r="D563" s="84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84"/>
      <c r="B564" s="88"/>
      <c r="C564" s="90"/>
      <c r="D564" s="84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84"/>
      <c r="B565" s="88"/>
      <c r="C565" s="90"/>
      <c r="D565" s="84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84"/>
      <c r="B566" s="88"/>
      <c r="C566" s="90"/>
      <c r="D566" s="84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84"/>
      <c r="B567" s="88"/>
      <c r="C567" s="90"/>
      <c r="D567" s="84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84"/>
      <c r="B568" s="88"/>
      <c r="C568" s="90"/>
      <c r="D568" s="84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84"/>
      <c r="B569" s="88"/>
      <c r="C569" s="90"/>
      <c r="D569" s="84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84"/>
      <c r="B570" s="88"/>
      <c r="C570" s="90"/>
      <c r="D570" s="84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84"/>
      <c r="B571" s="88"/>
      <c r="C571" s="90"/>
      <c r="D571" s="84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84"/>
      <c r="B572" s="88"/>
      <c r="C572" s="90"/>
      <c r="D572" s="84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84"/>
      <c r="B573" s="88"/>
      <c r="C573" s="90"/>
      <c r="D573" s="84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84"/>
      <c r="B574" s="88"/>
      <c r="C574" s="90"/>
      <c r="D574" s="84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84"/>
      <c r="B575" s="88"/>
      <c r="C575" s="90"/>
      <c r="D575" s="84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84"/>
      <c r="B576" s="88"/>
      <c r="C576" s="90"/>
      <c r="D576" s="84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84"/>
      <c r="B577" s="88"/>
      <c r="C577" s="90"/>
      <c r="D577" s="84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84"/>
      <c r="B578" s="88"/>
      <c r="C578" s="90"/>
      <c r="D578" s="84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84"/>
      <c r="B579" s="88"/>
      <c r="C579" s="90"/>
      <c r="D579" s="84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84"/>
      <c r="B580" s="88"/>
      <c r="C580" s="90"/>
      <c r="D580" s="84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84"/>
      <c r="B581" s="88"/>
      <c r="C581" s="90"/>
      <c r="D581" s="84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84"/>
      <c r="B582" s="88"/>
      <c r="C582" s="90"/>
      <c r="D582" s="84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84"/>
      <c r="B583" s="88"/>
      <c r="C583" s="90"/>
      <c r="D583" s="84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84"/>
      <c r="B584" s="88"/>
      <c r="C584" s="90"/>
      <c r="D584" s="84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84"/>
      <c r="B585" s="88"/>
      <c r="C585" s="90"/>
      <c r="D585" s="84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84"/>
      <c r="B586" s="88"/>
      <c r="C586" s="90"/>
      <c r="D586" s="84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84"/>
      <c r="B587" s="88"/>
      <c r="C587" s="90"/>
      <c r="D587" s="84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84"/>
      <c r="B588" s="88"/>
      <c r="C588" s="90"/>
      <c r="D588" s="84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84"/>
      <c r="B589" s="88"/>
      <c r="C589" s="90"/>
      <c r="D589" s="84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84"/>
      <c r="B590" s="88"/>
      <c r="C590" s="90"/>
      <c r="D590" s="84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84"/>
      <c r="B591" s="88"/>
      <c r="C591" s="90"/>
      <c r="D591" s="84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84"/>
      <c r="B592" s="88"/>
      <c r="C592" s="90"/>
      <c r="D592" s="84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84"/>
      <c r="B593" s="88"/>
      <c r="C593" s="90"/>
      <c r="D593" s="84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84"/>
      <c r="B594" s="88"/>
      <c r="C594" s="90"/>
      <c r="D594" s="84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84"/>
      <c r="B595" s="88"/>
      <c r="C595" s="90"/>
      <c r="D595" s="84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84"/>
      <c r="B596" s="88"/>
      <c r="C596" s="90"/>
      <c r="D596" s="84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84"/>
      <c r="B597" s="88"/>
      <c r="C597" s="90"/>
      <c r="D597" s="84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84"/>
      <c r="B598" s="88"/>
      <c r="C598" s="90"/>
      <c r="D598" s="84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84"/>
      <c r="B599" s="88"/>
      <c r="C599" s="90"/>
      <c r="D599" s="84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84"/>
      <c r="B600" s="88"/>
      <c r="C600" s="90"/>
      <c r="D600" s="84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84"/>
      <c r="B601" s="88"/>
      <c r="C601" s="90"/>
      <c r="D601" s="84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84"/>
      <c r="B602" s="88"/>
      <c r="C602" s="90"/>
      <c r="D602" s="84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84"/>
      <c r="B603" s="88"/>
      <c r="C603" s="90"/>
      <c r="D603" s="84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84"/>
      <c r="B604" s="88"/>
      <c r="C604" s="90"/>
      <c r="D604" s="84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84"/>
      <c r="B605" s="88"/>
      <c r="C605" s="90"/>
      <c r="D605" s="84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84"/>
      <c r="B606" s="88"/>
      <c r="C606" s="90"/>
      <c r="D606" s="84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84"/>
      <c r="B607" s="88"/>
      <c r="C607" s="90"/>
      <c r="D607" s="84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84"/>
      <c r="B608" s="88"/>
      <c r="C608" s="90"/>
      <c r="D608" s="84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84"/>
      <c r="B609" s="88"/>
      <c r="C609" s="90"/>
      <c r="D609" s="84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84"/>
      <c r="B610" s="88"/>
      <c r="C610" s="90"/>
      <c r="D610" s="84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84"/>
      <c r="B611" s="88"/>
      <c r="C611" s="90"/>
      <c r="D611" s="84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84"/>
      <c r="B612" s="88"/>
      <c r="C612" s="90"/>
      <c r="D612" s="84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84"/>
      <c r="B613" s="88"/>
      <c r="C613" s="90"/>
      <c r="D613" s="84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84"/>
      <c r="B614" s="88"/>
      <c r="C614" s="90"/>
      <c r="D614" s="84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84"/>
      <c r="B615" s="88"/>
      <c r="C615" s="90"/>
      <c r="D615" s="84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84"/>
      <c r="B616" s="88"/>
      <c r="C616" s="90"/>
      <c r="D616" s="84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84"/>
      <c r="B617" s="88"/>
      <c r="C617" s="90"/>
      <c r="D617" s="84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84"/>
      <c r="B618" s="88"/>
      <c r="C618" s="90"/>
      <c r="D618" s="84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84"/>
      <c r="B619" s="88"/>
      <c r="C619" s="90"/>
      <c r="D619" s="84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84"/>
      <c r="B620" s="88"/>
      <c r="C620" s="90"/>
      <c r="D620" s="84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84"/>
      <c r="B621" s="88"/>
      <c r="C621" s="90"/>
      <c r="D621" s="84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84"/>
      <c r="B622" s="88"/>
      <c r="C622" s="90"/>
      <c r="D622" s="84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84"/>
      <c r="B623" s="88"/>
      <c r="C623" s="90"/>
      <c r="D623" s="84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84"/>
      <c r="B624" s="88"/>
      <c r="C624" s="90"/>
      <c r="D624" s="84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84"/>
      <c r="B625" s="88"/>
      <c r="C625" s="90"/>
      <c r="D625" s="84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84"/>
      <c r="B626" s="88"/>
      <c r="C626" s="90"/>
      <c r="D626" s="84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84"/>
      <c r="B627" s="88"/>
      <c r="C627" s="90"/>
      <c r="D627" s="84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84"/>
      <c r="B628" s="88"/>
      <c r="C628" s="90"/>
      <c r="D628" s="84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84"/>
      <c r="B629" s="88"/>
      <c r="C629" s="90"/>
      <c r="D629" s="84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84"/>
      <c r="B630" s="88"/>
      <c r="C630" s="90"/>
      <c r="D630" s="84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84"/>
      <c r="B631" s="88"/>
      <c r="C631" s="90"/>
      <c r="D631" s="84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84"/>
      <c r="B632" s="88"/>
      <c r="C632" s="90"/>
      <c r="D632" s="84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84"/>
      <c r="B633" s="88"/>
      <c r="C633" s="90"/>
      <c r="D633" s="84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84"/>
      <c r="B634" s="88"/>
      <c r="C634" s="90"/>
      <c r="D634" s="84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84"/>
      <c r="B635" s="88"/>
      <c r="C635" s="90"/>
      <c r="D635" s="84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84"/>
      <c r="B636" s="88"/>
      <c r="C636" s="90"/>
      <c r="D636" s="84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84"/>
      <c r="B637" s="88"/>
      <c r="C637" s="90"/>
      <c r="D637" s="84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84"/>
      <c r="B638" s="88"/>
      <c r="C638" s="90"/>
      <c r="D638" s="84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84"/>
      <c r="B639" s="88"/>
      <c r="C639" s="90"/>
      <c r="D639" s="84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84"/>
      <c r="B640" s="88"/>
      <c r="C640" s="90"/>
      <c r="D640" s="84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84"/>
      <c r="B641" s="88"/>
      <c r="C641" s="90"/>
      <c r="D641" s="84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84"/>
      <c r="B642" s="88"/>
      <c r="C642" s="90"/>
      <c r="D642" s="84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84"/>
      <c r="B643" s="88"/>
      <c r="C643" s="90"/>
      <c r="D643" s="84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84"/>
      <c r="B644" s="88"/>
      <c r="C644" s="90"/>
      <c r="D644" s="84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84"/>
      <c r="B645" s="88"/>
      <c r="C645" s="90"/>
      <c r="D645" s="84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84"/>
      <c r="B646" s="88"/>
      <c r="C646" s="90"/>
      <c r="D646" s="84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84"/>
      <c r="B647" s="88"/>
      <c r="C647" s="90"/>
      <c r="D647" s="84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84"/>
      <c r="B648" s="88"/>
      <c r="C648" s="90"/>
      <c r="D648" s="84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84"/>
      <c r="B649" s="88"/>
      <c r="C649" s="90"/>
      <c r="D649" s="84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84"/>
      <c r="B650" s="88"/>
      <c r="C650" s="90"/>
      <c r="D650" s="84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84"/>
      <c r="B651" s="88"/>
      <c r="C651" s="90"/>
      <c r="D651" s="84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84"/>
      <c r="B652" s="88"/>
      <c r="C652" s="90"/>
      <c r="D652" s="84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84"/>
      <c r="B653" s="88"/>
      <c r="C653" s="90"/>
      <c r="D653" s="84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84"/>
      <c r="B654" s="88"/>
      <c r="C654" s="90"/>
      <c r="D654" s="84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84"/>
      <c r="B655" s="88"/>
      <c r="C655" s="90"/>
      <c r="D655" s="84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84"/>
      <c r="B656" s="88"/>
      <c r="C656" s="90"/>
      <c r="D656" s="84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84"/>
      <c r="B657" s="88"/>
      <c r="C657" s="90"/>
      <c r="D657" s="84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84"/>
      <c r="B658" s="88"/>
      <c r="C658" s="90"/>
      <c r="D658" s="84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84"/>
      <c r="B659" s="88"/>
      <c r="C659" s="90"/>
      <c r="D659" s="84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84"/>
      <c r="B660" s="88"/>
      <c r="C660" s="90"/>
      <c r="D660" s="84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84"/>
      <c r="B661" s="88"/>
      <c r="C661" s="90"/>
      <c r="D661" s="84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84"/>
      <c r="B662" s="88"/>
      <c r="C662" s="90"/>
      <c r="D662" s="84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84"/>
      <c r="B663" s="88"/>
      <c r="C663" s="90"/>
      <c r="D663" s="84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84"/>
      <c r="B664" s="88"/>
      <c r="C664" s="90"/>
      <c r="D664" s="84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84"/>
      <c r="B665" s="88"/>
      <c r="C665" s="90"/>
      <c r="D665" s="84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84"/>
      <c r="B666" s="88"/>
      <c r="C666" s="90"/>
      <c r="D666" s="84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84"/>
      <c r="B667" s="88"/>
      <c r="C667" s="90"/>
      <c r="D667" s="84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84"/>
      <c r="B668" s="88"/>
      <c r="C668" s="90"/>
      <c r="D668" s="84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84"/>
      <c r="B669" s="88"/>
      <c r="C669" s="90"/>
      <c r="D669" s="84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84"/>
      <c r="B670" s="88"/>
      <c r="C670" s="90"/>
      <c r="D670" s="84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84"/>
      <c r="B671" s="88"/>
      <c r="C671" s="90"/>
      <c r="D671" s="84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84"/>
      <c r="B672" s="88"/>
      <c r="C672" s="90"/>
      <c r="D672" s="84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84"/>
      <c r="B673" s="88"/>
      <c r="C673" s="90"/>
      <c r="D673" s="84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84"/>
      <c r="B674" s="88"/>
      <c r="C674" s="90"/>
      <c r="D674" s="84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84"/>
      <c r="B675" s="88"/>
      <c r="C675" s="90"/>
      <c r="D675" s="84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84"/>
      <c r="B676" s="88"/>
      <c r="C676" s="90"/>
      <c r="D676" s="84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84"/>
      <c r="B677" s="88"/>
      <c r="C677" s="90"/>
      <c r="D677" s="84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84"/>
      <c r="B678" s="88"/>
      <c r="C678" s="90"/>
      <c r="D678" s="84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84"/>
      <c r="B679" s="88"/>
      <c r="C679" s="90"/>
      <c r="D679" s="84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84"/>
      <c r="B680" s="88"/>
      <c r="C680" s="90"/>
      <c r="D680" s="84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84"/>
      <c r="B681" s="88"/>
      <c r="C681" s="90"/>
      <c r="D681" s="84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84"/>
      <c r="B682" s="88"/>
      <c r="C682" s="90"/>
      <c r="D682" s="84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84"/>
      <c r="B683" s="88"/>
      <c r="C683" s="90"/>
      <c r="D683" s="84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84"/>
      <c r="B684" s="88"/>
      <c r="C684" s="90"/>
      <c r="D684" s="84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84"/>
      <c r="B685" s="88"/>
      <c r="C685" s="90"/>
      <c r="D685" s="84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84"/>
      <c r="B686" s="88"/>
      <c r="C686" s="90"/>
      <c r="D686" s="84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84"/>
      <c r="B687" s="88"/>
      <c r="C687" s="90"/>
      <c r="D687" s="84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84"/>
      <c r="B688" s="88"/>
      <c r="C688" s="90"/>
      <c r="D688" s="84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84"/>
      <c r="B689" s="88"/>
      <c r="C689" s="90"/>
      <c r="D689" s="84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84"/>
      <c r="B690" s="88"/>
      <c r="C690" s="90"/>
      <c r="D690" s="84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84"/>
      <c r="B691" s="88"/>
      <c r="C691" s="90"/>
      <c r="D691" s="84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84"/>
      <c r="B692" s="88"/>
      <c r="C692" s="90"/>
      <c r="D692" s="84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84"/>
      <c r="B693" s="88"/>
      <c r="C693" s="90"/>
      <c r="D693" s="84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84"/>
      <c r="B694" s="88"/>
      <c r="C694" s="90"/>
      <c r="D694" s="84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84"/>
      <c r="B695" s="88"/>
      <c r="C695" s="90"/>
      <c r="D695" s="84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84"/>
      <c r="B696" s="88"/>
      <c r="C696" s="90"/>
      <c r="D696" s="84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84"/>
      <c r="B697" s="88"/>
      <c r="C697" s="90"/>
      <c r="D697" s="84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84"/>
      <c r="B698" s="88"/>
      <c r="C698" s="90"/>
      <c r="D698" s="84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84"/>
      <c r="B699" s="88"/>
      <c r="C699" s="90"/>
      <c r="D699" s="84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84"/>
      <c r="B700" s="88"/>
      <c r="C700" s="90"/>
      <c r="D700" s="84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84"/>
      <c r="B701" s="88"/>
      <c r="C701" s="90"/>
      <c r="D701" s="84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84"/>
      <c r="B702" s="88"/>
      <c r="C702" s="90"/>
      <c r="D702" s="84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84"/>
      <c r="B703" s="88"/>
      <c r="C703" s="90"/>
      <c r="D703" s="84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84"/>
      <c r="B704" s="88"/>
      <c r="C704" s="90"/>
      <c r="D704" s="84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84"/>
      <c r="B705" s="88"/>
      <c r="C705" s="90"/>
      <c r="D705" s="84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84"/>
      <c r="B706" s="88"/>
      <c r="C706" s="90"/>
      <c r="D706" s="84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84"/>
      <c r="B707" s="88"/>
      <c r="C707" s="90"/>
      <c r="D707" s="84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84"/>
      <c r="B708" s="88"/>
      <c r="C708" s="90"/>
      <c r="D708" s="84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84"/>
      <c r="B709" s="88"/>
      <c r="C709" s="90"/>
      <c r="D709" s="84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84"/>
      <c r="B710" s="88"/>
      <c r="C710" s="90"/>
      <c r="D710" s="84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84"/>
      <c r="B711" s="88"/>
      <c r="C711" s="90"/>
      <c r="D711" s="84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84"/>
      <c r="B712" s="88"/>
      <c r="C712" s="90"/>
      <c r="D712" s="84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84"/>
      <c r="B713" s="88"/>
      <c r="C713" s="90"/>
      <c r="D713" s="84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84"/>
      <c r="B714" s="88"/>
      <c r="C714" s="90"/>
      <c r="D714" s="84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84"/>
      <c r="B715" s="88"/>
      <c r="C715" s="90"/>
      <c r="D715" s="84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84"/>
      <c r="B716" s="88"/>
      <c r="C716" s="90"/>
      <c r="D716" s="84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84"/>
      <c r="B717" s="88"/>
      <c r="C717" s="90"/>
      <c r="D717" s="84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84"/>
      <c r="B718" s="88"/>
      <c r="C718" s="90"/>
      <c r="D718" s="84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84"/>
      <c r="B719" s="88"/>
      <c r="C719" s="90"/>
      <c r="D719" s="84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84"/>
      <c r="B720" s="88"/>
      <c r="C720" s="90"/>
      <c r="D720" s="84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84"/>
      <c r="B721" s="88"/>
      <c r="C721" s="90"/>
      <c r="D721" s="84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84"/>
      <c r="B722" s="88"/>
      <c r="C722" s="90"/>
      <c r="D722" s="84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84"/>
      <c r="B723" s="88"/>
      <c r="C723" s="90"/>
      <c r="D723" s="84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84"/>
      <c r="B724" s="88"/>
      <c r="C724" s="90"/>
      <c r="D724" s="84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84"/>
      <c r="B725" s="88"/>
      <c r="C725" s="90"/>
      <c r="D725" s="84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84"/>
      <c r="B726" s="88"/>
      <c r="C726" s="90"/>
      <c r="D726" s="84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84"/>
      <c r="B727" s="88"/>
      <c r="C727" s="90"/>
      <c r="D727" s="84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84"/>
      <c r="B728" s="88"/>
      <c r="C728" s="90"/>
      <c r="D728" s="84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84"/>
      <c r="B729" s="88"/>
      <c r="C729" s="90"/>
      <c r="D729" s="84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84"/>
      <c r="B730" s="88"/>
      <c r="C730" s="90"/>
      <c r="D730" s="84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84"/>
      <c r="B731" s="88"/>
      <c r="C731" s="90"/>
      <c r="D731" s="84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84"/>
      <c r="B732" s="88"/>
      <c r="C732" s="90"/>
      <c r="D732" s="84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84"/>
      <c r="B733" s="88"/>
      <c r="C733" s="90"/>
      <c r="D733" s="84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84"/>
      <c r="B734" s="88"/>
      <c r="C734" s="90"/>
      <c r="D734" s="84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84"/>
      <c r="B735" s="88"/>
      <c r="C735" s="90"/>
      <c r="D735" s="84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84"/>
      <c r="B736" s="88"/>
      <c r="C736" s="90"/>
      <c r="D736" s="84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84"/>
      <c r="B737" s="88"/>
      <c r="C737" s="90"/>
      <c r="D737" s="84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84"/>
      <c r="B738" s="88"/>
      <c r="C738" s="90"/>
      <c r="D738" s="84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84"/>
      <c r="B739" s="88"/>
      <c r="C739" s="90"/>
      <c r="D739" s="84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84"/>
      <c r="B740" s="88"/>
      <c r="C740" s="90"/>
      <c r="D740" s="84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84"/>
      <c r="B741" s="88"/>
      <c r="C741" s="90"/>
      <c r="D741" s="84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84"/>
      <c r="B742" s="88"/>
      <c r="C742" s="90"/>
      <c r="D742" s="84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84"/>
      <c r="B743" s="88"/>
      <c r="C743" s="90"/>
      <c r="D743" s="84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84"/>
      <c r="B744" s="88"/>
      <c r="C744" s="90"/>
      <c r="D744" s="84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84"/>
      <c r="B745" s="88"/>
      <c r="C745" s="90"/>
      <c r="D745" s="84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84"/>
      <c r="B746" s="88"/>
      <c r="C746" s="90"/>
      <c r="D746" s="84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84"/>
      <c r="B747" s="88"/>
      <c r="C747" s="90"/>
      <c r="D747" s="84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84"/>
      <c r="B748" s="88"/>
      <c r="C748" s="90"/>
      <c r="D748" s="84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84"/>
      <c r="B749" s="88"/>
      <c r="C749" s="90"/>
      <c r="D749" s="84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84"/>
      <c r="B750" s="88"/>
      <c r="C750" s="90"/>
      <c r="D750" s="84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84"/>
      <c r="B751" s="88"/>
      <c r="C751" s="90"/>
      <c r="D751" s="84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84"/>
      <c r="B752" s="88"/>
      <c r="C752" s="90"/>
      <c r="D752" s="84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84"/>
      <c r="B753" s="88"/>
      <c r="C753" s="90"/>
      <c r="D753" s="84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84"/>
      <c r="B754" s="88"/>
      <c r="C754" s="90"/>
      <c r="D754" s="84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84"/>
      <c r="B755" s="88"/>
      <c r="C755" s="90"/>
      <c r="D755" s="84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84"/>
      <c r="B756" s="88"/>
      <c r="C756" s="90"/>
      <c r="D756" s="84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84"/>
      <c r="B757" s="88"/>
      <c r="C757" s="90"/>
      <c r="D757" s="84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84"/>
      <c r="B758" s="88"/>
      <c r="C758" s="90"/>
      <c r="D758" s="84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84"/>
      <c r="B759" s="88"/>
      <c r="C759" s="90"/>
      <c r="D759" s="84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84"/>
      <c r="B760" s="88"/>
      <c r="C760" s="90"/>
      <c r="D760" s="84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84"/>
      <c r="B761" s="88"/>
      <c r="C761" s="90"/>
      <c r="D761" s="84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84"/>
      <c r="B762" s="88"/>
      <c r="C762" s="90"/>
      <c r="D762" s="84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84"/>
      <c r="B763" s="88"/>
      <c r="C763" s="90"/>
      <c r="D763" s="84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84"/>
      <c r="B764" s="88"/>
      <c r="C764" s="90"/>
      <c r="D764" s="84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84"/>
      <c r="B765" s="88"/>
      <c r="C765" s="90"/>
      <c r="D765" s="84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84"/>
      <c r="B766" s="88"/>
      <c r="C766" s="90"/>
      <c r="D766" s="84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84"/>
      <c r="B767" s="88"/>
      <c r="C767" s="90"/>
      <c r="D767" s="84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84"/>
      <c r="B768" s="88"/>
      <c r="C768" s="90"/>
      <c r="D768" s="84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84"/>
      <c r="B769" s="88"/>
      <c r="C769" s="90"/>
      <c r="D769" s="84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84"/>
      <c r="B770" s="88"/>
      <c r="C770" s="90"/>
      <c r="D770" s="84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84"/>
      <c r="B771" s="88"/>
      <c r="C771" s="90"/>
      <c r="D771" s="84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84"/>
      <c r="B772" s="88"/>
      <c r="C772" s="90"/>
      <c r="D772" s="84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84"/>
      <c r="B773" s="88"/>
      <c r="C773" s="90"/>
      <c r="D773" s="84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84"/>
      <c r="B774" s="88"/>
      <c r="C774" s="90"/>
      <c r="D774" s="84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84"/>
      <c r="B775" s="88"/>
      <c r="C775" s="90"/>
      <c r="D775" s="84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84"/>
      <c r="B776" s="88"/>
      <c r="C776" s="90"/>
      <c r="D776" s="84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84"/>
      <c r="B777" s="88"/>
      <c r="C777" s="90"/>
      <c r="D777" s="84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84"/>
      <c r="B778" s="88"/>
      <c r="C778" s="90"/>
      <c r="D778" s="84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84"/>
      <c r="B779" s="88"/>
      <c r="C779" s="90"/>
      <c r="D779" s="84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84"/>
      <c r="B780" s="88"/>
      <c r="C780" s="90"/>
      <c r="D780" s="84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84"/>
      <c r="B781" s="88"/>
      <c r="C781" s="90"/>
      <c r="D781" s="84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84"/>
      <c r="B782" s="88"/>
      <c r="C782" s="90"/>
      <c r="D782" s="84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84"/>
      <c r="B783" s="88"/>
      <c r="C783" s="90"/>
      <c r="D783" s="84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84"/>
      <c r="B784" s="88"/>
      <c r="C784" s="90"/>
      <c r="D784" s="84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84"/>
      <c r="B785" s="88"/>
      <c r="C785" s="90"/>
      <c r="D785" s="84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84"/>
      <c r="B786" s="88"/>
      <c r="C786" s="90"/>
      <c r="D786" s="84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84"/>
      <c r="B787" s="88"/>
      <c r="C787" s="90"/>
      <c r="D787" s="84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84"/>
      <c r="B788" s="88"/>
      <c r="C788" s="90"/>
      <c r="D788" s="84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84"/>
      <c r="B789" s="88"/>
      <c r="C789" s="90"/>
      <c r="D789" s="84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84"/>
      <c r="B790" s="88"/>
      <c r="C790" s="90"/>
      <c r="D790" s="84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84"/>
      <c r="B791" s="88"/>
      <c r="C791" s="90"/>
      <c r="D791" s="84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84"/>
      <c r="B792" s="88"/>
      <c r="C792" s="90"/>
      <c r="D792" s="84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84"/>
      <c r="B793" s="88"/>
      <c r="C793" s="90"/>
      <c r="D793" s="84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84"/>
      <c r="B794" s="88"/>
      <c r="C794" s="90"/>
      <c r="D794" s="84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84"/>
      <c r="B795" s="88"/>
      <c r="C795" s="90"/>
      <c r="D795" s="84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84"/>
      <c r="B796" s="88"/>
      <c r="C796" s="90"/>
      <c r="D796" s="84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84"/>
      <c r="B797" s="88"/>
      <c r="C797" s="90"/>
      <c r="D797" s="84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84"/>
      <c r="B798" s="88"/>
      <c r="C798" s="90"/>
      <c r="D798" s="84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84"/>
      <c r="B799" s="88"/>
      <c r="C799" s="90"/>
      <c r="D799" s="84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84"/>
      <c r="B800" s="88"/>
      <c r="C800" s="90"/>
      <c r="D800" s="84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84"/>
      <c r="B801" s="88"/>
      <c r="C801" s="90"/>
      <c r="D801" s="84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84"/>
      <c r="B802" s="88"/>
      <c r="C802" s="90"/>
      <c r="D802" s="84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84"/>
      <c r="B803" s="88"/>
      <c r="C803" s="90"/>
      <c r="D803" s="84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84"/>
      <c r="B804" s="88"/>
      <c r="C804" s="90"/>
      <c r="D804" s="84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84"/>
      <c r="B805" s="88"/>
      <c r="C805" s="90"/>
      <c r="D805" s="84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84"/>
      <c r="B806" s="88"/>
      <c r="C806" s="90"/>
      <c r="D806" s="84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84"/>
      <c r="B807" s="88"/>
      <c r="C807" s="90"/>
      <c r="D807" s="84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84"/>
      <c r="B808" s="88"/>
      <c r="C808" s="90"/>
      <c r="D808" s="84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84"/>
      <c r="B809" s="88"/>
      <c r="C809" s="90"/>
      <c r="D809" s="84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84"/>
      <c r="B810" s="88"/>
      <c r="C810" s="90"/>
      <c r="D810" s="84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84"/>
      <c r="B811" s="88"/>
      <c r="C811" s="90"/>
      <c r="D811" s="84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84"/>
      <c r="B812" s="88"/>
      <c r="C812" s="90"/>
      <c r="D812" s="84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84"/>
      <c r="B813" s="88"/>
      <c r="C813" s="90"/>
      <c r="D813" s="84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84"/>
      <c r="B814" s="88"/>
      <c r="C814" s="90"/>
      <c r="D814" s="84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84"/>
      <c r="B815" s="88"/>
      <c r="C815" s="90"/>
      <c r="D815" s="84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84"/>
      <c r="B816" s="88"/>
      <c r="C816" s="90"/>
      <c r="D816" s="84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84"/>
      <c r="B817" s="88"/>
      <c r="C817" s="90"/>
      <c r="D817" s="84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84"/>
      <c r="B818" s="88"/>
      <c r="C818" s="90"/>
      <c r="D818" s="84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84"/>
      <c r="B819" s="88"/>
      <c r="C819" s="90"/>
      <c r="D819" s="84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84"/>
      <c r="B820" s="88"/>
      <c r="C820" s="90"/>
      <c r="D820" s="84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84"/>
      <c r="B821" s="88"/>
      <c r="C821" s="90"/>
      <c r="D821" s="84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84"/>
      <c r="B822" s="88"/>
      <c r="C822" s="90"/>
      <c r="D822" s="84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84"/>
      <c r="B823" s="88"/>
      <c r="C823" s="90"/>
      <c r="D823" s="84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84"/>
      <c r="B824" s="88"/>
      <c r="C824" s="90"/>
      <c r="D824" s="84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84"/>
      <c r="B825" s="88"/>
      <c r="C825" s="90"/>
      <c r="D825" s="84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84"/>
      <c r="B826" s="88"/>
      <c r="C826" s="90"/>
      <c r="D826" s="84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84"/>
      <c r="B827" s="88"/>
      <c r="C827" s="90"/>
      <c r="D827" s="84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84"/>
      <c r="B828" s="88"/>
      <c r="C828" s="90"/>
      <c r="D828" s="84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84"/>
      <c r="B829" s="88"/>
      <c r="C829" s="90"/>
      <c r="D829" s="84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84"/>
      <c r="B830" s="88"/>
      <c r="C830" s="90"/>
      <c r="D830" s="84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84"/>
      <c r="B831" s="88"/>
      <c r="C831" s="90"/>
      <c r="D831" s="84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84"/>
      <c r="B832" s="88"/>
      <c r="C832" s="90"/>
      <c r="D832" s="84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84"/>
      <c r="B833" s="88"/>
      <c r="C833" s="90"/>
      <c r="D833" s="84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84"/>
      <c r="B834" s="88"/>
      <c r="C834" s="90"/>
      <c r="D834" s="84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84"/>
      <c r="B835" s="88"/>
      <c r="C835" s="90"/>
      <c r="D835" s="84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84"/>
      <c r="B836" s="88"/>
      <c r="C836" s="90"/>
      <c r="D836" s="84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84"/>
      <c r="B837" s="88"/>
      <c r="C837" s="90"/>
      <c r="D837" s="84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84"/>
      <c r="B838" s="88"/>
      <c r="C838" s="90"/>
      <c r="D838" s="84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84"/>
      <c r="B839" s="88"/>
      <c r="C839" s="90"/>
      <c r="D839" s="84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84"/>
      <c r="B840" s="88"/>
      <c r="C840" s="90"/>
      <c r="D840" s="84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84"/>
      <c r="B841" s="88"/>
      <c r="C841" s="90"/>
      <c r="D841" s="84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84"/>
      <c r="B842" s="88"/>
      <c r="C842" s="90"/>
      <c r="D842" s="84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84"/>
      <c r="B843" s="88"/>
      <c r="C843" s="90"/>
      <c r="D843" s="84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84"/>
      <c r="B844" s="88"/>
      <c r="C844" s="90"/>
      <c r="D844" s="84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84"/>
      <c r="B845" s="88"/>
      <c r="C845" s="90"/>
      <c r="D845" s="84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84"/>
      <c r="B846" s="88"/>
      <c r="C846" s="90"/>
      <c r="D846" s="84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84"/>
      <c r="B847" s="88"/>
      <c r="C847" s="90"/>
      <c r="D847" s="84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84"/>
      <c r="B848" s="88"/>
      <c r="C848" s="90"/>
      <c r="D848" s="84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84"/>
      <c r="B849" s="88"/>
      <c r="C849" s="90"/>
      <c r="D849" s="84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84"/>
      <c r="B850" s="88"/>
      <c r="C850" s="90"/>
      <c r="D850" s="84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84"/>
      <c r="B851" s="88"/>
      <c r="C851" s="90"/>
      <c r="D851" s="84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84"/>
      <c r="B852" s="88"/>
      <c r="C852" s="90"/>
      <c r="D852" s="84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84"/>
      <c r="B853" s="88"/>
      <c r="C853" s="90"/>
      <c r="D853" s="84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84"/>
      <c r="B854" s="88"/>
      <c r="C854" s="90"/>
      <c r="D854" s="84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84"/>
      <c r="B855" s="88"/>
      <c r="C855" s="90"/>
      <c r="D855" s="84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84"/>
      <c r="B856" s="88"/>
      <c r="C856" s="90"/>
      <c r="D856" s="84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84"/>
      <c r="B857" s="88"/>
      <c r="C857" s="90"/>
      <c r="D857" s="84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84"/>
      <c r="B858" s="88"/>
      <c r="C858" s="90"/>
      <c r="D858" s="84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84"/>
      <c r="B859" s="88"/>
      <c r="C859" s="90"/>
      <c r="D859" s="84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84"/>
      <c r="B860" s="88"/>
      <c r="C860" s="90"/>
      <c r="D860" s="84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84"/>
      <c r="B861" s="88"/>
      <c r="C861" s="90"/>
      <c r="D861" s="84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84"/>
      <c r="B862" s="88"/>
      <c r="C862" s="90"/>
      <c r="D862" s="84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84"/>
      <c r="B863" s="88"/>
      <c r="C863" s="90"/>
      <c r="D863" s="84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84"/>
      <c r="B864" s="88"/>
      <c r="C864" s="90"/>
      <c r="D864" s="84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84"/>
      <c r="B865" s="88"/>
      <c r="C865" s="90"/>
      <c r="D865" s="84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84"/>
      <c r="B866" s="88"/>
      <c r="C866" s="90"/>
      <c r="D866" s="84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84"/>
      <c r="B867" s="88"/>
      <c r="C867" s="90"/>
      <c r="D867" s="84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84"/>
      <c r="B868" s="88"/>
      <c r="C868" s="90"/>
      <c r="D868" s="84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84"/>
      <c r="B869" s="88"/>
      <c r="C869" s="90"/>
      <c r="D869" s="84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84"/>
      <c r="B870" s="88"/>
      <c r="C870" s="90"/>
      <c r="D870" s="84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84"/>
      <c r="B871" s="88"/>
      <c r="C871" s="90"/>
      <c r="D871" s="84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84"/>
      <c r="B872" s="88"/>
      <c r="C872" s="90"/>
      <c r="D872" s="84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84"/>
      <c r="B873" s="88"/>
      <c r="C873" s="90"/>
      <c r="D873" s="84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84"/>
      <c r="B874" s="88"/>
      <c r="C874" s="90"/>
      <c r="D874" s="84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84"/>
      <c r="B875" s="88"/>
      <c r="C875" s="90"/>
      <c r="D875" s="84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84"/>
      <c r="B876" s="88"/>
      <c r="C876" s="90"/>
      <c r="D876" s="84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84"/>
      <c r="B877" s="88"/>
      <c r="C877" s="90"/>
      <c r="D877" s="84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84"/>
      <c r="B878" s="88"/>
      <c r="C878" s="90"/>
      <c r="D878" s="84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84"/>
      <c r="B879" s="88"/>
      <c r="C879" s="90"/>
      <c r="D879" s="84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84"/>
      <c r="B880" s="88"/>
      <c r="C880" s="90"/>
      <c r="D880" s="84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84"/>
      <c r="B881" s="88"/>
      <c r="C881" s="90"/>
      <c r="D881" s="84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84"/>
      <c r="B882" s="88"/>
      <c r="C882" s="90"/>
      <c r="D882" s="84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84"/>
      <c r="B883" s="88"/>
      <c r="C883" s="90"/>
      <c r="D883" s="84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84"/>
      <c r="B884" s="88"/>
      <c r="C884" s="90"/>
      <c r="D884" s="84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84"/>
      <c r="B885" s="88"/>
      <c r="C885" s="90"/>
      <c r="D885" s="84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84"/>
      <c r="B886" s="88"/>
      <c r="C886" s="90"/>
      <c r="D886" s="84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84"/>
      <c r="B887" s="88"/>
      <c r="C887" s="90"/>
      <c r="D887" s="84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84"/>
      <c r="B888" s="88"/>
      <c r="C888" s="90"/>
      <c r="D888" s="84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84"/>
      <c r="B889" s="88"/>
      <c r="C889" s="90"/>
      <c r="D889" s="84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84"/>
      <c r="B890" s="88"/>
      <c r="C890" s="90"/>
      <c r="D890" s="84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84"/>
      <c r="B891" s="88"/>
      <c r="C891" s="90"/>
      <c r="D891" s="84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84"/>
      <c r="B892" s="88"/>
      <c r="C892" s="90"/>
      <c r="D892" s="84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84"/>
      <c r="B893" s="88"/>
      <c r="C893" s="90"/>
      <c r="D893" s="84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84"/>
      <c r="B894" s="88"/>
      <c r="C894" s="90"/>
      <c r="D894" s="84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84"/>
      <c r="B895" s="88"/>
      <c r="C895" s="90"/>
      <c r="D895" s="84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84"/>
      <c r="B896" s="88"/>
      <c r="C896" s="90"/>
      <c r="D896" s="84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84"/>
      <c r="B897" s="88"/>
      <c r="C897" s="90"/>
      <c r="D897" s="84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84"/>
      <c r="B898" s="88"/>
      <c r="C898" s="90"/>
      <c r="D898" s="84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84"/>
      <c r="B899" s="88"/>
      <c r="C899" s="90"/>
      <c r="D899" s="84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84"/>
      <c r="B900" s="88"/>
      <c r="C900" s="90"/>
      <c r="D900" s="84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84"/>
      <c r="B901" s="88"/>
      <c r="C901" s="90"/>
      <c r="D901" s="84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84"/>
      <c r="B902" s="88"/>
      <c r="C902" s="90"/>
      <c r="D902" s="84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84"/>
      <c r="B903" s="88"/>
      <c r="C903" s="90"/>
      <c r="D903" s="84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84"/>
      <c r="B904" s="88"/>
      <c r="C904" s="90"/>
      <c r="D904" s="84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84"/>
      <c r="B905" s="88"/>
      <c r="C905" s="90"/>
      <c r="D905" s="84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84"/>
      <c r="B906" s="88"/>
      <c r="C906" s="90"/>
      <c r="D906" s="84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84"/>
      <c r="B907" s="88"/>
      <c r="C907" s="90"/>
      <c r="D907" s="84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84"/>
      <c r="B908" s="88"/>
      <c r="C908" s="90"/>
      <c r="D908" s="84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84"/>
      <c r="B909" s="88"/>
      <c r="C909" s="90"/>
      <c r="D909" s="84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84"/>
      <c r="B910" s="88"/>
      <c r="C910" s="90"/>
      <c r="D910" s="84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84"/>
      <c r="B911" s="88"/>
      <c r="C911" s="90"/>
      <c r="D911" s="84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84"/>
      <c r="B912" s="88"/>
      <c r="C912" s="90"/>
      <c r="D912" s="84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84"/>
      <c r="B913" s="88"/>
      <c r="C913" s="90"/>
      <c r="D913" s="84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84"/>
      <c r="B914" s="88"/>
      <c r="C914" s="90"/>
      <c r="D914" s="84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84"/>
      <c r="B915" s="88"/>
      <c r="C915" s="90"/>
      <c r="D915" s="84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84"/>
      <c r="B916" s="88"/>
      <c r="C916" s="90"/>
      <c r="D916" s="84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84"/>
      <c r="B917" s="88"/>
      <c r="C917" s="90"/>
      <c r="D917" s="84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84"/>
      <c r="B918" s="88"/>
      <c r="C918" s="90"/>
      <c r="D918" s="84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84"/>
      <c r="B919" s="88"/>
      <c r="C919" s="90"/>
      <c r="D919" s="84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84"/>
      <c r="B920" s="88"/>
      <c r="C920" s="90"/>
      <c r="D920" s="84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84"/>
      <c r="B921" s="88"/>
      <c r="C921" s="90"/>
      <c r="D921" s="84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84"/>
      <c r="B922" s="88"/>
      <c r="C922" s="90"/>
      <c r="D922" s="84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84"/>
      <c r="B923" s="88"/>
      <c r="C923" s="90"/>
      <c r="D923" s="84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84"/>
      <c r="B924" s="88"/>
      <c r="C924" s="90"/>
      <c r="D924" s="84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84"/>
      <c r="B925" s="88"/>
      <c r="C925" s="90"/>
      <c r="D925" s="84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84"/>
      <c r="B926" s="88"/>
      <c r="C926" s="90"/>
      <c r="D926" s="84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84"/>
      <c r="B927" s="88"/>
      <c r="C927" s="90"/>
      <c r="D927" s="84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84"/>
      <c r="B928" s="88"/>
      <c r="C928" s="90"/>
      <c r="D928" s="84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84"/>
      <c r="B929" s="88"/>
      <c r="C929" s="90"/>
      <c r="D929" s="84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84"/>
      <c r="B930" s="88"/>
      <c r="C930" s="90"/>
      <c r="D930" s="84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84"/>
      <c r="B931" s="88"/>
      <c r="C931" s="90"/>
      <c r="D931" s="84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84"/>
      <c r="B932" s="88"/>
      <c r="C932" s="90"/>
      <c r="D932" s="84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84"/>
      <c r="B933" s="88"/>
      <c r="C933" s="90"/>
      <c r="D933" s="84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84"/>
      <c r="B934" s="88"/>
      <c r="C934" s="90"/>
      <c r="D934" s="84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84"/>
      <c r="B935" s="88"/>
      <c r="C935" s="90"/>
      <c r="D935" s="84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84"/>
      <c r="B936" s="88"/>
      <c r="C936" s="90"/>
      <c r="D936" s="84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84"/>
      <c r="B937" s="88"/>
      <c r="C937" s="90"/>
      <c r="D937" s="84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84"/>
      <c r="B938" s="88"/>
      <c r="C938" s="90"/>
      <c r="D938" s="84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84"/>
      <c r="B939" s="88"/>
      <c r="C939" s="90"/>
      <c r="D939" s="84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84"/>
      <c r="B940" s="88"/>
      <c r="C940" s="90"/>
      <c r="D940" s="84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84"/>
      <c r="B941" s="88"/>
      <c r="C941" s="90"/>
      <c r="D941" s="84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84"/>
      <c r="B942" s="88"/>
      <c r="C942" s="90"/>
      <c r="D942" s="84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84"/>
      <c r="B943" s="88"/>
      <c r="C943" s="90"/>
      <c r="D943" s="84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84"/>
      <c r="B944" s="88"/>
      <c r="C944" s="90"/>
      <c r="D944" s="84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84"/>
      <c r="B945" s="88"/>
      <c r="C945" s="90"/>
      <c r="D945" s="84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84"/>
      <c r="B946" s="88"/>
      <c r="C946" s="90"/>
      <c r="D946" s="84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84"/>
      <c r="B947" s="88"/>
      <c r="C947" s="90"/>
      <c r="D947" s="84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84"/>
      <c r="B948" s="88"/>
      <c r="C948" s="90"/>
      <c r="D948" s="84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84"/>
      <c r="B949" s="88"/>
      <c r="C949" s="90"/>
      <c r="D949" s="84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84"/>
      <c r="B950" s="88"/>
      <c r="C950" s="90"/>
      <c r="D950" s="84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84"/>
      <c r="B951" s="88"/>
      <c r="C951" s="90"/>
      <c r="D951" s="84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84"/>
      <c r="B952" s="88"/>
      <c r="C952" s="90"/>
      <c r="D952" s="84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84"/>
      <c r="B953" s="88"/>
      <c r="C953" s="90"/>
      <c r="D953" s="84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84"/>
      <c r="B954" s="88"/>
      <c r="C954" s="90"/>
      <c r="D954" s="84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84"/>
      <c r="B955" s="88"/>
      <c r="C955" s="90"/>
      <c r="D955" s="84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84"/>
      <c r="B956" s="88"/>
      <c r="C956" s="90"/>
      <c r="D956" s="84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84"/>
      <c r="B957" s="88"/>
      <c r="C957" s="90"/>
      <c r="D957" s="84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84"/>
      <c r="B958" s="88"/>
      <c r="C958" s="90"/>
      <c r="D958" s="84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84"/>
      <c r="B959" s="88"/>
      <c r="C959" s="90"/>
      <c r="D959" s="84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84"/>
      <c r="B960" s="88"/>
      <c r="C960" s="90"/>
      <c r="D960" s="84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84"/>
      <c r="B961" s="88"/>
      <c r="C961" s="90"/>
      <c r="D961" s="84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84"/>
      <c r="B962" s="88"/>
      <c r="C962" s="90"/>
      <c r="D962" s="84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84"/>
      <c r="B963" s="88"/>
      <c r="C963" s="90"/>
      <c r="D963" s="84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84"/>
      <c r="B964" s="88"/>
      <c r="C964" s="90"/>
      <c r="D964" s="84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84"/>
      <c r="B965" s="88"/>
      <c r="C965" s="90"/>
      <c r="D965" s="84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84"/>
      <c r="B966" s="88"/>
      <c r="C966" s="90"/>
      <c r="D966" s="84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84"/>
      <c r="B967" s="88"/>
      <c r="C967" s="90"/>
      <c r="D967" s="84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84"/>
      <c r="B968" s="88"/>
      <c r="C968" s="90"/>
      <c r="D968" s="84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84"/>
      <c r="B969" s="88"/>
      <c r="C969" s="90"/>
      <c r="D969" s="84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84"/>
      <c r="B970" s="88"/>
      <c r="C970" s="90"/>
      <c r="D970" s="84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84"/>
      <c r="B971" s="88"/>
      <c r="C971" s="90"/>
      <c r="D971" s="84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84"/>
      <c r="B972" s="88"/>
      <c r="C972" s="90"/>
      <c r="D972" s="84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84"/>
      <c r="B973" s="88"/>
      <c r="C973" s="90"/>
      <c r="D973" s="84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84"/>
      <c r="B974" s="88"/>
      <c r="C974" s="90"/>
      <c r="D974" s="84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84"/>
      <c r="B975" s="88"/>
      <c r="C975" s="90"/>
      <c r="D975" s="84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84"/>
      <c r="B976" s="88"/>
      <c r="C976" s="90"/>
      <c r="D976" s="84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84"/>
      <c r="B977" s="88"/>
      <c r="C977" s="90"/>
      <c r="D977" s="84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84"/>
      <c r="B978" s="88"/>
      <c r="C978" s="90"/>
      <c r="D978" s="84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84"/>
      <c r="B979" s="88"/>
      <c r="C979" s="90"/>
      <c r="D979" s="84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84"/>
      <c r="B980" s="88"/>
      <c r="C980" s="90"/>
      <c r="D980" s="84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84"/>
      <c r="B981" s="88"/>
      <c r="C981" s="90"/>
      <c r="D981" s="84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>
      <c r="A982" s="84"/>
      <c r="B982" s="88"/>
      <c r="C982" s="90"/>
      <c r="D982" s="84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>
      <c r="A983" s="84"/>
      <c r="B983" s="88"/>
      <c r="C983" s="90"/>
      <c r="D983" s="84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>
      <c r="A984" s="84"/>
      <c r="B984" s="88"/>
      <c r="C984" s="90"/>
      <c r="D984" s="84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>
      <c r="A985" s="84"/>
      <c r="B985" s="88"/>
      <c r="C985" s="90"/>
      <c r="D985" s="84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>
      <c r="A986" s="84"/>
      <c r="B986" s="88"/>
      <c r="C986" s="90"/>
      <c r="D986" s="84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>
      <c r="A987" s="84"/>
      <c r="B987" s="88"/>
      <c r="C987" s="90"/>
      <c r="D987" s="84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>
      <c r="A988" s="84"/>
      <c r="B988" s="88"/>
      <c r="C988" s="90"/>
      <c r="D988" s="84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>
      <c r="A989" s="84"/>
      <c r="B989" s="88"/>
      <c r="C989" s="90"/>
      <c r="D989" s="84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>
      <c r="A990" s="84"/>
      <c r="B990" s="88"/>
      <c r="C990" s="90"/>
      <c r="D990" s="84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>
      <c r="A991" s="84"/>
      <c r="B991" s="88"/>
      <c r="C991" s="90"/>
      <c r="D991" s="84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>
      <c r="A992" s="84"/>
      <c r="B992" s="88"/>
      <c r="C992" s="90"/>
      <c r="D992" s="84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>
      <c r="A993" s="84"/>
      <c r="B993" s="88"/>
      <c r="C993" s="90"/>
      <c r="D993" s="84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>
      <c r="A994" s="84"/>
      <c r="B994" s="88"/>
      <c r="C994" s="90"/>
      <c r="D994" s="84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>
      <c r="A995" s="84"/>
      <c r="B995" s="88"/>
      <c r="C995" s="90"/>
      <c r="D995" s="84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>
      <c r="A996" s="84"/>
      <c r="B996" s="88"/>
      <c r="C996" s="90"/>
      <c r="D996" s="84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>
      <c r="A997" s="84"/>
      <c r="B997" s="88"/>
      <c r="C997" s="90"/>
      <c r="D997" s="84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>
      <c r="A998" s="84"/>
      <c r="B998" s="88"/>
      <c r="C998" s="90"/>
      <c r="D998" s="84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>
      <c r="A999" s="84"/>
      <c r="B999" s="88"/>
      <c r="C999" s="90"/>
      <c r="D999" s="84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>
      <c r="A1000" s="84"/>
      <c r="B1000" s="88"/>
      <c r="C1000" s="90"/>
      <c r="D1000" s="84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>
      <c r="A1001" s="84"/>
      <c r="B1001" s="88"/>
      <c r="C1001" s="90"/>
      <c r="D1001" s="84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>
      <c r="A1002" s="84"/>
      <c r="B1002" s="88"/>
      <c r="C1002" s="90"/>
      <c r="D1002" s="84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>
      <c r="A1003" s="84"/>
      <c r="B1003" s="88"/>
      <c r="C1003" s="90"/>
      <c r="D1003" s="84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>
      <c r="A1004" s="84"/>
      <c r="B1004" s="88"/>
      <c r="C1004" s="90"/>
      <c r="D1004" s="84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  <row r="1005">
      <c r="A1005" s="84"/>
      <c r="B1005" s="88"/>
      <c r="C1005" s="90"/>
      <c r="D1005" s="84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</row>
    <row r="1006">
      <c r="A1006" s="84"/>
      <c r="B1006" s="88"/>
      <c r="C1006" s="90"/>
      <c r="D1006" s="84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</row>
    <row r="1007">
      <c r="A1007" s="84"/>
      <c r="B1007" s="88"/>
      <c r="C1007" s="90"/>
      <c r="D1007" s="84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</row>
    <row r="1008">
      <c r="A1008" s="84"/>
      <c r="B1008" s="88"/>
      <c r="C1008" s="90"/>
      <c r="D1008" s="84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</row>
    <row r="1009">
      <c r="A1009" s="84"/>
      <c r="B1009" s="88"/>
      <c r="C1009" s="90"/>
      <c r="D1009" s="84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</row>
    <row r="1010">
      <c r="A1010" s="84"/>
      <c r="B1010" s="88"/>
      <c r="C1010" s="90"/>
      <c r="D1010" s="84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</row>
    <row r="1011">
      <c r="A1011" s="84"/>
      <c r="B1011" s="88"/>
      <c r="C1011" s="90"/>
      <c r="D1011" s="84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</row>
    <row r="1012">
      <c r="A1012" s="84"/>
      <c r="B1012" s="88"/>
      <c r="C1012" s="90"/>
      <c r="D1012" s="84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</row>
    <row r="1013">
      <c r="A1013" s="84"/>
      <c r="B1013" s="88"/>
      <c r="C1013" s="90"/>
      <c r="D1013" s="84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</row>
    <row r="1014">
      <c r="A1014" s="84"/>
      <c r="B1014" s="88"/>
      <c r="C1014" s="90"/>
      <c r="D1014" s="84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</row>
  </sheetData>
  <mergeCells count="39">
    <mergeCell ref="G15:H15"/>
    <mergeCell ref="G16:H16"/>
    <mergeCell ref="G18:H18"/>
    <mergeCell ref="G19:H19"/>
    <mergeCell ref="F24:J24"/>
    <mergeCell ref="A2:A6"/>
    <mergeCell ref="F2:F3"/>
    <mergeCell ref="F4:F6"/>
    <mergeCell ref="A7:A11"/>
    <mergeCell ref="A12:A19"/>
    <mergeCell ref="G13:H13"/>
    <mergeCell ref="G14:H14"/>
    <mergeCell ref="A20:A24"/>
    <mergeCell ref="A25:A30"/>
    <mergeCell ref="A31:A37"/>
    <mergeCell ref="A38:A43"/>
    <mergeCell ref="A44:A48"/>
    <mergeCell ref="A49:A51"/>
    <mergeCell ref="A53:A56"/>
    <mergeCell ref="A57:A58"/>
    <mergeCell ref="A59:A62"/>
    <mergeCell ref="A63:A65"/>
    <mergeCell ref="A67:A70"/>
    <mergeCell ref="A71:A76"/>
    <mergeCell ref="A77:A79"/>
    <mergeCell ref="A80:A87"/>
    <mergeCell ref="A113:A116"/>
    <mergeCell ref="A117:A118"/>
    <mergeCell ref="A119:A121"/>
    <mergeCell ref="A122:A125"/>
    <mergeCell ref="A126:A128"/>
    <mergeCell ref="A129:A131"/>
    <mergeCell ref="A88:A89"/>
    <mergeCell ref="A90:A92"/>
    <mergeCell ref="A93:A96"/>
    <mergeCell ref="A97:A101"/>
    <mergeCell ref="A102:A107"/>
    <mergeCell ref="A108:A110"/>
    <mergeCell ref="A111:A112"/>
  </mergeCells>
  <conditionalFormatting sqref="F27:J111">
    <cfRule type="expression" dxfId="0" priority="1">
      <formula>$I27=TRUE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13"/>
    <col customWidth="1" min="4" max="4" width="21.88"/>
    <col customWidth="1" min="5" max="5" width="15.63"/>
    <col customWidth="1" min="6" max="6" width="24.38"/>
    <col customWidth="1" min="7" max="7" width="41.38"/>
    <col customWidth="1" min="8" max="8" width="14.38"/>
  </cols>
  <sheetData>
    <row r="1">
      <c r="A1" s="91" t="s">
        <v>24</v>
      </c>
      <c r="B1" s="49" t="s">
        <v>25</v>
      </c>
      <c r="C1" s="49" t="s">
        <v>26</v>
      </c>
      <c r="D1" s="49" t="s">
        <v>27</v>
      </c>
      <c r="E1" s="50"/>
      <c r="F1" s="51" t="s">
        <v>24</v>
      </c>
      <c r="G1" s="51" t="s">
        <v>28</v>
      </c>
      <c r="H1" s="52" t="s">
        <v>26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3">
        <v>46233.0</v>
      </c>
      <c r="B2" s="54" t="s">
        <v>50</v>
      </c>
      <c r="C2" s="54">
        <v>30.0</v>
      </c>
      <c r="D2" s="55" t="s">
        <v>40</v>
      </c>
      <c r="E2" s="59"/>
      <c r="F2" s="56">
        <v>46233.0</v>
      </c>
      <c r="G2" s="57" t="s">
        <v>155</v>
      </c>
      <c r="H2" s="58">
        <f>24357+'T72026'!G18</f>
        <v>24468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B3" s="54" t="s">
        <v>156</v>
      </c>
      <c r="C3" s="54">
        <v>14.0</v>
      </c>
      <c r="D3" s="55" t="s">
        <v>40</v>
      </c>
      <c r="E3" s="59"/>
      <c r="F3" s="60">
        <v>46239.0</v>
      </c>
      <c r="G3" s="54" t="s">
        <v>157</v>
      </c>
      <c r="H3" s="61">
        <v>5500.0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B4" s="54" t="s">
        <v>84</v>
      </c>
      <c r="C4" s="54">
        <v>2000.0</v>
      </c>
      <c r="D4" s="55" t="s">
        <v>84</v>
      </c>
      <c r="E4" s="50"/>
      <c r="F4" s="60">
        <v>46240.0</v>
      </c>
      <c r="G4" s="54" t="s">
        <v>158</v>
      </c>
      <c r="H4" s="61">
        <v>200.0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B5" s="54" t="s">
        <v>35</v>
      </c>
      <c r="C5" s="54">
        <v>1000.0</v>
      </c>
      <c r="D5" s="55" t="s">
        <v>35</v>
      </c>
      <c r="E5" s="59"/>
      <c r="F5" s="92"/>
      <c r="G5" s="54" t="s">
        <v>159</v>
      </c>
      <c r="H5" s="61">
        <v>100.0</v>
      </c>
      <c r="I5" s="59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B6" s="54" t="s">
        <v>160</v>
      </c>
      <c r="C6" s="59">
        <f>218-56-41-33-45</f>
        <v>43</v>
      </c>
      <c r="D6" s="55" t="s">
        <v>40</v>
      </c>
      <c r="E6" s="50"/>
      <c r="F6" s="60">
        <v>46254.0</v>
      </c>
      <c r="G6" s="54" t="s">
        <v>161</v>
      </c>
      <c r="H6" s="61">
        <v>2000.0</v>
      </c>
      <c r="I6" s="59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B7" s="54" t="s">
        <v>156</v>
      </c>
      <c r="C7" s="54">
        <v>26.0</v>
      </c>
      <c r="D7" s="55" t="s">
        <v>40</v>
      </c>
      <c r="E7" s="50"/>
      <c r="F7" s="60">
        <v>46255.0</v>
      </c>
      <c r="G7" s="54" t="s">
        <v>162</v>
      </c>
      <c r="H7" s="61">
        <v>650.0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B8" s="54" t="s">
        <v>163</v>
      </c>
      <c r="C8" s="54">
        <v>30.0</v>
      </c>
      <c r="D8" s="55" t="s">
        <v>101</v>
      </c>
      <c r="E8" s="50"/>
      <c r="F8" s="60">
        <v>46258.0</v>
      </c>
      <c r="G8" s="54" t="s">
        <v>157</v>
      </c>
      <c r="H8" s="61">
        <v>5580.0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B9" s="54" t="s">
        <v>138</v>
      </c>
      <c r="C9" s="54">
        <v>4500.0</v>
      </c>
      <c r="D9" s="55" t="s">
        <v>42</v>
      </c>
      <c r="F9" s="60"/>
      <c r="G9" s="54"/>
      <c r="H9" s="61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B10" s="54" t="s">
        <v>2</v>
      </c>
      <c r="C10" s="54">
        <v>1000.0</v>
      </c>
      <c r="D10" s="55" t="s">
        <v>2</v>
      </c>
      <c r="E10" s="50"/>
      <c r="F10" s="60"/>
      <c r="G10" s="54"/>
      <c r="H10" s="61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53">
        <v>46234.0</v>
      </c>
      <c r="B11" s="54" t="s">
        <v>50</v>
      </c>
      <c r="C11" s="54">
        <v>40.0</v>
      </c>
      <c r="D11" s="55" t="s">
        <v>40</v>
      </c>
      <c r="E11" s="54"/>
      <c r="F11" s="60"/>
      <c r="G11" s="54"/>
      <c r="H11" s="61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B12" s="54" t="s">
        <v>156</v>
      </c>
      <c r="C12" s="54">
        <v>14.0</v>
      </c>
      <c r="D12" s="55" t="s">
        <v>40</v>
      </c>
      <c r="E12" s="50"/>
      <c r="F12" s="62"/>
      <c r="G12" s="63"/>
      <c r="H12" s="64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B13" s="54" t="s">
        <v>91</v>
      </c>
      <c r="C13" s="54">
        <v>57.0</v>
      </c>
      <c r="D13" s="55" t="s">
        <v>40</v>
      </c>
      <c r="E13" s="50"/>
      <c r="F13" s="65" t="s">
        <v>49</v>
      </c>
      <c r="G13" s="66">
        <f>SUM(H2:H12)</f>
        <v>38498</v>
      </c>
      <c r="H13" s="27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B14" s="54" t="s">
        <v>130</v>
      </c>
      <c r="C14" s="54">
        <v>54.0</v>
      </c>
      <c r="D14" s="55" t="s">
        <v>40</v>
      </c>
      <c r="E14" s="50"/>
      <c r="F14" s="67" t="s">
        <v>51</v>
      </c>
      <c r="G14" s="68">
        <f>SUMPRODUCT(((D2:D231&lt;&gt;"Credit")*(D2:D231&lt;&gt;"Quỹ Shinhan"))*C2:C231) + G15</f>
        <v>34938</v>
      </c>
      <c r="H14" s="3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53">
        <v>46235.0</v>
      </c>
      <c r="B15" s="54" t="s">
        <v>164</v>
      </c>
      <c r="C15" s="59">
        <f>100+100+68+70</f>
        <v>338</v>
      </c>
      <c r="D15" s="55" t="s">
        <v>76</v>
      </c>
      <c r="E15" s="59"/>
      <c r="F15" s="67" t="s">
        <v>53</v>
      </c>
      <c r="G15" s="69">
        <f>-2+62+3+77+224+412+76+47</f>
        <v>899</v>
      </c>
      <c r="H15" s="3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B16" s="54" t="s">
        <v>87</v>
      </c>
      <c r="C16" s="54">
        <v>59.0</v>
      </c>
      <c r="D16" s="55" t="s">
        <v>40</v>
      </c>
      <c r="E16" s="50"/>
      <c r="F16" s="67" t="s">
        <v>55</v>
      </c>
      <c r="G16" s="69">
        <v>0.0</v>
      </c>
      <c r="H16" s="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B17" s="54" t="s">
        <v>56</v>
      </c>
      <c r="C17" s="54">
        <v>24.0</v>
      </c>
      <c r="D17" s="55" t="s">
        <v>40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B18" s="54" t="s">
        <v>10</v>
      </c>
      <c r="C18" s="54">
        <v>1700.0</v>
      </c>
      <c r="D18" s="55" t="s">
        <v>10</v>
      </c>
      <c r="E18" s="59"/>
      <c r="F18" s="67" t="s">
        <v>57</v>
      </c>
      <c r="G18" s="70">
        <f>G13-G14-J26</f>
        <v>3560</v>
      </c>
      <c r="H18" s="3"/>
      <c r="I18" s="54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B19" s="54" t="s">
        <v>108</v>
      </c>
      <c r="C19" s="54">
        <v>1500.0</v>
      </c>
      <c r="D19" s="55" t="s">
        <v>108</v>
      </c>
      <c r="E19" s="50"/>
      <c r="F19" s="67" t="s">
        <v>59</v>
      </c>
      <c r="G19" s="71">
        <f>G13-G14</f>
        <v>3560</v>
      </c>
      <c r="H19" s="3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3">
        <v>46236.0</v>
      </c>
      <c r="B20" s="54" t="s">
        <v>50</v>
      </c>
      <c r="C20" s="54">
        <v>60.0</v>
      </c>
      <c r="D20" s="55" t="s">
        <v>40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B21" s="54" t="s">
        <v>165</v>
      </c>
      <c r="C21" s="54">
        <v>786.0</v>
      </c>
      <c r="D21" s="55" t="s">
        <v>66</v>
      </c>
      <c r="E21" s="50"/>
      <c r="F21" s="72" t="s">
        <v>62</v>
      </c>
      <c r="G21" s="72" t="s">
        <v>63</v>
      </c>
      <c r="H21" s="72" t="s">
        <v>64</v>
      </c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B22" s="54" t="s">
        <v>166</v>
      </c>
      <c r="C22" s="54">
        <v>189.0</v>
      </c>
      <c r="D22" s="55" t="s">
        <v>66</v>
      </c>
      <c r="E22" s="50"/>
      <c r="F22" s="73" t="s">
        <v>40</v>
      </c>
      <c r="G22" s="74">
        <v>8000.0</v>
      </c>
      <c r="H22" s="75">
        <f>SUMIF(D2:D154, "=Living expense",C2:C172)+G15</f>
        <v>7814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B23" s="54" t="s">
        <v>167</v>
      </c>
      <c r="C23" s="54">
        <v>20.0</v>
      </c>
      <c r="D23" s="55" t="s">
        <v>40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B24" s="54" t="s">
        <v>146</v>
      </c>
      <c r="C24" s="54">
        <v>80.0</v>
      </c>
      <c r="D24" s="55" t="s">
        <v>40</v>
      </c>
      <c r="E24" s="50"/>
      <c r="F24" s="76" t="s">
        <v>67</v>
      </c>
      <c r="G24" s="2"/>
      <c r="H24" s="2"/>
      <c r="I24" s="2"/>
      <c r="J24" s="3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B25" s="54" t="s">
        <v>168</v>
      </c>
      <c r="C25" s="54">
        <v>603.0</v>
      </c>
      <c r="D25" s="55" t="s">
        <v>48</v>
      </c>
      <c r="E25" s="50"/>
      <c r="F25" s="72" t="s">
        <v>62</v>
      </c>
      <c r="G25" s="72" t="s">
        <v>63</v>
      </c>
      <c r="H25" s="72" t="s">
        <v>64</v>
      </c>
      <c r="I25" s="72" t="s">
        <v>69</v>
      </c>
      <c r="J25" s="72" t="s">
        <v>70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B26" s="54" t="s">
        <v>169</v>
      </c>
      <c r="C26" s="54">
        <v>220.0</v>
      </c>
      <c r="D26" s="55" t="s">
        <v>40</v>
      </c>
      <c r="E26" s="50"/>
      <c r="F26" s="77" t="s">
        <v>73</v>
      </c>
      <c r="G26" s="78">
        <f t="shared" ref="G26:H26" si="1">SUM(G27:G109)</f>
        <v>26700</v>
      </c>
      <c r="H26" s="79">
        <f t="shared" si="1"/>
        <v>25612</v>
      </c>
      <c r="I26" s="80"/>
      <c r="J26" s="79">
        <f>SUM(J27:J109)</f>
        <v>0</v>
      </c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B27" s="54" t="s">
        <v>156</v>
      </c>
      <c r="C27" s="54">
        <v>26.0</v>
      </c>
      <c r="D27" s="55" t="s">
        <v>40</v>
      </c>
      <c r="E27" s="59"/>
      <c r="F27" s="81" t="s">
        <v>66</v>
      </c>
      <c r="G27" s="82">
        <v>7200.0</v>
      </c>
      <c r="H27" s="83">
        <f>IFERROR(__xludf.DUMMYFUNCTION("SUMIF($D$2:$D$530, TO_TEXT(F27) ,$C$2:$C$530)"),7074.0)</f>
        <v>7074</v>
      </c>
      <c r="I27" s="54" t="b">
        <v>1</v>
      </c>
      <c r="J27" s="84">
        <f t="shared" ref="J27:J35" si="2">IF(I27=TRUE,0,MAX(G27-H27,0))</f>
        <v>0</v>
      </c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53">
        <v>46237.0</v>
      </c>
      <c r="B28" s="54" t="s">
        <v>114</v>
      </c>
      <c r="C28" s="54">
        <v>18.0</v>
      </c>
      <c r="D28" s="55" t="s">
        <v>40</v>
      </c>
      <c r="E28" s="50"/>
      <c r="F28" s="81" t="s">
        <v>12</v>
      </c>
      <c r="G28" s="82">
        <v>5000.0</v>
      </c>
      <c r="H28" s="83">
        <f>IFERROR(__xludf.DUMMYFUNCTION("SUMIF($D$2:$D$530, TO_TEXT(F28) ,$C$2:$C$530)"),5000.0)</f>
        <v>5000</v>
      </c>
      <c r="I28" s="54" t="b">
        <v>1</v>
      </c>
      <c r="J28" s="84">
        <f t="shared" si="2"/>
        <v>0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B29" s="54" t="s">
        <v>170</v>
      </c>
      <c r="C29" s="54">
        <v>290.0</v>
      </c>
      <c r="D29" s="55" t="s">
        <v>40</v>
      </c>
      <c r="E29" s="50"/>
      <c r="F29" s="54" t="s">
        <v>108</v>
      </c>
      <c r="G29" s="55">
        <v>3000.0</v>
      </c>
      <c r="H29" s="83">
        <f>IFERROR(__xludf.DUMMYFUNCTION("SUMIF($D$2:$D$530, TO_TEXT(F29) ,$C$2:$C$530)"),3000.0)</f>
        <v>3000</v>
      </c>
      <c r="I29" s="54" t="b">
        <v>1</v>
      </c>
      <c r="J29" s="84">
        <f t="shared" si="2"/>
        <v>0</v>
      </c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B30" s="54" t="s">
        <v>171</v>
      </c>
      <c r="C30" s="59">
        <f>401-85-85-85-85</f>
        <v>61</v>
      </c>
      <c r="D30" s="55" t="s">
        <v>40</v>
      </c>
      <c r="E30" s="54"/>
      <c r="F30" s="81" t="s">
        <v>35</v>
      </c>
      <c r="G30" s="82">
        <v>1000.0</v>
      </c>
      <c r="H30" s="83">
        <f>IFERROR(__xludf.DUMMYFUNCTION("SUMIF($D$2:$D$530, TO_TEXT(F30) ,$C$2:$C$530)"),1000.0)</f>
        <v>1000</v>
      </c>
      <c r="I30" s="54" t="b">
        <v>1</v>
      </c>
      <c r="J30" s="84">
        <f t="shared" si="2"/>
        <v>0</v>
      </c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B31" s="54" t="s">
        <v>91</v>
      </c>
      <c r="C31" s="54">
        <v>50.0</v>
      </c>
      <c r="D31" s="55" t="s">
        <v>40</v>
      </c>
      <c r="E31" s="50"/>
      <c r="F31" s="54" t="s">
        <v>10</v>
      </c>
      <c r="G31" s="55">
        <v>1700.0</v>
      </c>
      <c r="H31" s="83">
        <f>IFERROR(__xludf.DUMMYFUNCTION("SUMIF($D$2:$D$530, TO_TEXT(F31) ,$C$2:$C$530)"),1700.0)</f>
        <v>1700</v>
      </c>
      <c r="I31" s="54" t="b">
        <v>1</v>
      </c>
      <c r="J31" s="84">
        <f t="shared" si="2"/>
        <v>0</v>
      </c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B32" s="54" t="s">
        <v>156</v>
      </c>
      <c r="C32" s="54">
        <v>26.0</v>
      </c>
      <c r="D32" s="55" t="s">
        <v>40</v>
      </c>
      <c r="E32" s="50"/>
      <c r="F32" s="81" t="s">
        <v>42</v>
      </c>
      <c r="G32" s="82">
        <v>5000.0</v>
      </c>
      <c r="H32" s="83">
        <f>IFERROR(__xludf.DUMMYFUNCTION("SUMIF($D$2:$D$530, TO_TEXT(F32) ,$C$2:$C$530)"),4500.0)</f>
        <v>4500</v>
      </c>
      <c r="I32" s="54" t="b">
        <v>1</v>
      </c>
      <c r="J32" s="84">
        <f t="shared" si="2"/>
        <v>0</v>
      </c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B33" s="54" t="s">
        <v>130</v>
      </c>
      <c r="C33" s="54">
        <v>70.0</v>
      </c>
      <c r="D33" s="55" t="s">
        <v>40</v>
      </c>
      <c r="E33" s="50"/>
      <c r="F33" s="54" t="s">
        <v>76</v>
      </c>
      <c r="G33" s="55">
        <v>800.0</v>
      </c>
      <c r="H33" s="83">
        <f>IFERROR(__xludf.DUMMYFUNCTION("SUMIF($D$2:$D$530, TO_TEXT(F33) ,$C$2:$C$530)"),338.0)</f>
        <v>338</v>
      </c>
      <c r="I33" s="54" t="b">
        <v>1</v>
      </c>
      <c r="J33" s="84">
        <f t="shared" si="2"/>
        <v>0</v>
      </c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53">
        <v>46238.0</v>
      </c>
      <c r="B34" s="54" t="s">
        <v>114</v>
      </c>
      <c r="C34" s="54">
        <v>18.0</v>
      </c>
      <c r="D34" s="55" t="s">
        <v>40</v>
      </c>
      <c r="E34" s="59"/>
      <c r="F34" s="81" t="s">
        <v>84</v>
      </c>
      <c r="G34" s="55">
        <v>2000.0</v>
      </c>
      <c r="H34" s="83">
        <f>IFERROR(__xludf.DUMMYFUNCTION("SUMIF($D$2:$D$530, TO_TEXT(F34) ,$C$2:$C$530)"),2000.0)</f>
        <v>2000</v>
      </c>
      <c r="I34" s="54" t="b">
        <v>1</v>
      </c>
      <c r="J34" s="84">
        <f t="shared" si="2"/>
        <v>0</v>
      </c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B35" s="54" t="s">
        <v>156</v>
      </c>
      <c r="C35" s="54">
        <v>14.0</v>
      </c>
      <c r="D35" s="55" t="s">
        <v>40</v>
      </c>
      <c r="E35" s="50"/>
      <c r="F35" s="81" t="s">
        <v>2</v>
      </c>
      <c r="G35" s="55">
        <v>1000.0</v>
      </c>
      <c r="H35" s="83">
        <f>IFERROR(__xludf.DUMMYFUNCTION("SUMIF($D$2:$D$530, TO_TEXT(F35) ,$C$2:$C$530)"),1000.0)</f>
        <v>1000</v>
      </c>
      <c r="I35" s="54" t="b">
        <v>1</v>
      </c>
      <c r="J35" s="84">
        <f t="shared" si="2"/>
        <v>0</v>
      </c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B36" s="54" t="s">
        <v>160</v>
      </c>
      <c r="C36" s="59">
        <f>107-42</f>
        <v>65</v>
      </c>
      <c r="D36" s="55" t="s">
        <v>40</v>
      </c>
      <c r="E36" s="54"/>
      <c r="F36" s="54"/>
      <c r="G36" s="55"/>
      <c r="H36" s="83"/>
      <c r="I36" s="54"/>
      <c r="J36" s="84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B37" s="54" t="s">
        <v>107</v>
      </c>
      <c r="C37" s="59">
        <f>79-20-20</f>
        <v>39</v>
      </c>
      <c r="D37" s="55" t="s">
        <v>40</v>
      </c>
      <c r="E37" s="54"/>
      <c r="F37" s="54"/>
      <c r="G37" s="55"/>
      <c r="H37" s="83"/>
      <c r="I37" s="54"/>
      <c r="J37" s="84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B38" s="54" t="s">
        <v>156</v>
      </c>
      <c r="C38" s="54">
        <v>26.0</v>
      </c>
      <c r="D38" s="55" t="s">
        <v>40</v>
      </c>
      <c r="E38" s="59"/>
      <c r="F38" s="54"/>
      <c r="G38" s="55"/>
      <c r="H38" s="83"/>
      <c r="I38" s="55"/>
      <c r="J38" s="83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53">
        <v>46239.0</v>
      </c>
      <c r="B39" s="54" t="s">
        <v>114</v>
      </c>
      <c r="C39" s="54">
        <v>18.0</v>
      </c>
      <c r="D39" s="55" t="s">
        <v>40</v>
      </c>
      <c r="E39" s="59"/>
      <c r="F39" s="54"/>
      <c r="G39" s="55"/>
      <c r="H39" s="83"/>
      <c r="I39" s="55"/>
      <c r="J39" s="83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B40" s="54" t="s">
        <v>146</v>
      </c>
      <c r="C40" s="54">
        <v>40.0</v>
      </c>
      <c r="D40" s="55" t="s">
        <v>40</v>
      </c>
      <c r="E40" s="59"/>
      <c r="F40" s="54"/>
      <c r="G40" s="55"/>
      <c r="H40" s="83"/>
      <c r="I40" s="55"/>
      <c r="J40" s="83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B41" s="54" t="s">
        <v>37</v>
      </c>
      <c r="C41" s="54">
        <v>50.0</v>
      </c>
      <c r="D41" s="55" t="s">
        <v>40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B42" s="54" t="s">
        <v>56</v>
      </c>
      <c r="C42" s="54">
        <v>24.0</v>
      </c>
      <c r="D42" s="55" t="s">
        <v>40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B43" s="54" t="s">
        <v>140</v>
      </c>
      <c r="C43" s="54">
        <v>131.0</v>
      </c>
      <c r="D43" s="55" t="s">
        <v>40</v>
      </c>
      <c r="E43" s="59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53">
        <v>46240.0</v>
      </c>
      <c r="B44" s="54" t="s">
        <v>50</v>
      </c>
      <c r="C44" s="54">
        <v>32.0</v>
      </c>
      <c r="D44" s="55" t="s">
        <v>40</v>
      </c>
      <c r="E44" s="50"/>
      <c r="F44" s="54"/>
      <c r="G44" s="55"/>
      <c r="H44" s="83"/>
      <c r="I44" s="55"/>
      <c r="J44" s="83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B45" s="54" t="s">
        <v>56</v>
      </c>
      <c r="C45" s="54">
        <v>16.0</v>
      </c>
      <c r="D45" s="55" t="s">
        <v>40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B46" s="54" t="s">
        <v>172</v>
      </c>
      <c r="C46" s="54">
        <v>52.0</v>
      </c>
      <c r="D46" s="55" t="s">
        <v>40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53">
        <v>46241.0</v>
      </c>
      <c r="B47" s="54" t="s">
        <v>145</v>
      </c>
      <c r="C47" s="54">
        <v>28.0</v>
      </c>
      <c r="D47" s="55" t="s">
        <v>40</v>
      </c>
      <c r="E47" s="50"/>
      <c r="F47" s="54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B48" s="54" t="s">
        <v>114</v>
      </c>
      <c r="C48" s="54">
        <v>18.0</v>
      </c>
      <c r="D48" s="55" t="s">
        <v>40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B49" s="54" t="s">
        <v>146</v>
      </c>
      <c r="C49" s="54">
        <v>40.0</v>
      </c>
      <c r="D49" s="55" t="s">
        <v>40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B50" s="54" t="s">
        <v>93</v>
      </c>
      <c r="C50" s="54">
        <v>53.0</v>
      </c>
      <c r="D50" s="55" t="s">
        <v>40</v>
      </c>
      <c r="E50" s="59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53">
        <v>46242.0</v>
      </c>
      <c r="B51" s="54" t="s">
        <v>105</v>
      </c>
      <c r="C51" s="54">
        <v>30.0</v>
      </c>
      <c r="D51" s="55" t="s">
        <v>40</v>
      </c>
      <c r="E51" s="59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B52" s="54" t="s">
        <v>52</v>
      </c>
      <c r="C52" s="54">
        <v>80.0</v>
      </c>
      <c r="D52" s="55" t="s">
        <v>40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B53" s="54" t="s">
        <v>173</v>
      </c>
      <c r="C53" s="54">
        <v>249.0</v>
      </c>
      <c r="D53" s="55" t="s">
        <v>40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B54" s="54" t="s">
        <v>74</v>
      </c>
      <c r="C54" s="54">
        <v>45.0</v>
      </c>
      <c r="D54" s="55" t="s">
        <v>40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B55" s="54" t="s">
        <v>133</v>
      </c>
      <c r="C55" s="54">
        <v>100.0</v>
      </c>
      <c r="D55" s="55" t="s">
        <v>40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53">
        <v>46243.0</v>
      </c>
      <c r="B56" s="54" t="s">
        <v>105</v>
      </c>
      <c r="C56" s="54">
        <v>30.0</v>
      </c>
      <c r="D56" s="55" t="s">
        <v>40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B57" s="54" t="s">
        <v>156</v>
      </c>
      <c r="C57" s="54">
        <v>28.0</v>
      </c>
      <c r="D57" s="55" t="s">
        <v>40</v>
      </c>
      <c r="E57" s="59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B58" s="54" t="s">
        <v>174</v>
      </c>
      <c r="C58" s="54">
        <v>60.0</v>
      </c>
      <c r="D58" s="55" t="s">
        <v>40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53">
        <v>46244.0</v>
      </c>
      <c r="B59" s="54" t="s">
        <v>114</v>
      </c>
      <c r="C59" s="54">
        <v>18.0</v>
      </c>
      <c r="D59" s="55" t="s">
        <v>40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B60" s="54" t="s">
        <v>58</v>
      </c>
      <c r="C60" s="54">
        <v>41.0</v>
      </c>
      <c r="D60" s="55" t="s">
        <v>40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B61" s="54" t="s">
        <v>156</v>
      </c>
      <c r="C61" s="54">
        <v>26.0</v>
      </c>
      <c r="D61" s="55" t="s">
        <v>40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B62" s="54" t="s">
        <v>140</v>
      </c>
      <c r="C62" s="54">
        <v>164.0</v>
      </c>
      <c r="D62" s="55" t="s">
        <v>40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53">
        <v>46245.0</v>
      </c>
      <c r="B63" s="54" t="s">
        <v>56</v>
      </c>
      <c r="C63" s="54">
        <v>16.0</v>
      </c>
      <c r="D63" s="55" t="s">
        <v>40</v>
      </c>
      <c r="E63" s="59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B64" s="54" t="s">
        <v>146</v>
      </c>
      <c r="C64" s="54">
        <v>40.0</v>
      </c>
      <c r="D64" s="55" t="s">
        <v>40</v>
      </c>
      <c r="E64" s="59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B65" s="54" t="s">
        <v>148</v>
      </c>
      <c r="C65" s="54">
        <v>37.0</v>
      </c>
      <c r="D65" s="55" t="s">
        <v>40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53">
        <v>46246.0</v>
      </c>
      <c r="B66" s="54" t="s">
        <v>114</v>
      </c>
      <c r="C66" s="54">
        <v>18.0</v>
      </c>
      <c r="D66" s="55" t="s">
        <v>40</v>
      </c>
      <c r="E66" s="59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B67" s="54" t="s">
        <v>175</v>
      </c>
      <c r="C67" s="54">
        <v>57.0</v>
      </c>
      <c r="D67" s="55" t="s">
        <v>40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B68" s="54" t="s">
        <v>148</v>
      </c>
      <c r="C68" s="54">
        <v>37.0</v>
      </c>
      <c r="D68" s="55" t="s">
        <v>40</v>
      </c>
      <c r="E68" s="59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B69" s="54" t="s">
        <v>108</v>
      </c>
      <c r="C69" s="54">
        <v>1500.0</v>
      </c>
      <c r="D69" s="55" t="s">
        <v>108</v>
      </c>
      <c r="E69" s="59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B70" s="54" t="s">
        <v>33</v>
      </c>
      <c r="C70" s="54">
        <v>0.0</v>
      </c>
      <c r="D70" s="55" t="s">
        <v>34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B71" s="54" t="s">
        <v>176</v>
      </c>
      <c r="C71" s="54">
        <v>50.0</v>
      </c>
      <c r="D71" s="55" t="s">
        <v>40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53">
        <v>46247.0</v>
      </c>
      <c r="B72" s="54" t="s">
        <v>114</v>
      </c>
      <c r="C72" s="54">
        <v>18.0</v>
      </c>
      <c r="D72" s="55" t="s">
        <v>40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B73" s="54" t="s">
        <v>11</v>
      </c>
      <c r="C73" s="54">
        <v>79.0</v>
      </c>
      <c r="D73" s="55" t="s">
        <v>48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B74" s="54" t="s">
        <v>177</v>
      </c>
      <c r="C74" s="54">
        <v>53.0</v>
      </c>
      <c r="D74" s="55" t="s">
        <v>40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53">
        <v>46248.0</v>
      </c>
      <c r="B75" s="54" t="s">
        <v>50</v>
      </c>
      <c r="C75" s="59">
        <f>218-22-49-49-49</f>
        <v>49</v>
      </c>
      <c r="D75" s="55" t="s">
        <v>40</v>
      </c>
      <c r="E75" s="54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B76" s="54" t="s">
        <v>56</v>
      </c>
      <c r="C76" s="54">
        <v>16.0</v>
      </c>
      <c r="D76" s="55" t="s">
        <v>40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B77" s="54" t="s">
        <v>175</v>
      </c>
      <c r="C77" s="54">
        <v>40.0</v>
      </c>
      <c r="D77" s="55" t="s">
        <v>40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B78" s="54" t="s">
        <v>37</v>
      </c>
      <c r="C78" s="54">
        <v>50.0</v>
      </c>
      <c r="D78" s="55" t="s">
        <v>40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B79" s="54" t="s">
        <v>102</v>
      </c>
      <c r="C79" s="54">
        <v>25.0</v>
      </c>
      <c r="D79" s="55" t="s">
        <v>40</v>
      </c>
      <c r="E79" s="59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3">
        <v>46249.0</v>
      </c>
      <c r="B80" s="54" t="s">
        <v>178</v>
      </c>
      <c r="C80" s="54">
        <v>99.0</v>
      </c>
      <c r="D80" s="55" t="s">
        <v>66</v>
      </c>
      <c r="E80" s="59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B81" s="54" t="s">
        <v>66</v>
      </c>
      <c r="C81" s="54">
        <v>6000.0</v>
      </c>
      <c r="D81" s="55" t="s">
        <v>66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B82" s="54" t="s">
        <v>12</v>
      </c>
      <c r="C82" s="54">
        <v>5000.0</v>
      </c>
      <c r="D82" s="55" t="s">
        <v>12</v>
      </c>
      <c r="E82" s="59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53">
        <v>46250.0</v>
      </c>
      <c r="B83" s="54" t="s">
        <v>54</v>
      </c>
      <c r="C83" s="54">
        <v>25.0</v>
      </c>
      <c r="D83" s="55" t="s">
        <v>40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B84" s="54" t="s">
        <v>179</v>
      </c>
      <c r="C84" s="54">
        <v>22.0</v>
      </c>
      <c r="D84" s="55" t="s">
        <v>101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B85" s="54" t="s">
        <v>105</v>
      </c>
      <c r="C85" s="54">
        <v>30.0</v>
      </c>
      <c r="D85" s="55" t="s">
        <v>40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B86" s="54" t="s">
        <v>130</v>
      </c>
      <c r="C86" s="54">
        <v>27.0</v>
      </c>
      <c r="D86" s="55" t="s">
        <v>40</v>
      </c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B87" s="54" t="s">
        <v>56</v>
      </c>
      <c r="C87" s="54">
        <v>24.0</v>
      </c>
      <c r="D87" s="55" t="s">
        <v>40</v>
      </c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53">
        <v>46251.0</v>
      </c>
      <c r="B88" s="54" t="s">
        <v>50</v>
      </c>
      <c r="C88" s="54">
        <v>32.0</v>
      </c>
      <c r="D88" s="55" t="s">
        <v>40</v>
      </c>
      <c r="E88" s="59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B89" s="54" t="s">
        <v>114</v>
      </c>
      <c r="C89" s="59">
        <f>18+19-19</f>
        <v>18</v>
      </c>
      <c r="D89" s="55" t="s">
        <v>40</v>
      </c>
      <c r="E89" s="54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B90" s="54" t="s">
        <v>180</v>
      </c>
      <c r="C90" s="54">
        <v>99.0</v>
      </c>
      <c r="D90" s="55" t="s">
        <v>48</v>
      </c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53">
        <v>46253.0</v>
      </c>
      <c r="B91" s="54" t="s">
        <v>181</v>
      </c>
      <c r="C91" s="54">
        <v>252.0</v>
      </c>
      <c r="D91" s="55" t="s">
        <v>40</v>
      </c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B92" s="54" t="s">
        <v>182</v>
      </c>
      <c r="C92" s="54">
        <v>846.0</v>
      </c>
      <c r="D92" s="55" t="s">
        <v>48</v>
      </c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B93" s="54" t="s">
        <v>183</v>
      </c>
      <c r="C93" s="54">
        <v>25.0</v>
      </c>
      <c r="D93" s="55" t="s">
        <v>72</v>
      </c>
      <c r="E93" s="59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B94" s="54" t="s">
        <v>184</v>
      </c>
      <c r="C94" s="54">
        <v>185.0</v>
      </c>
      <c r="D94" s="55" t="s">
        <v>72</v>
      </c>
      <c r="E94" s="59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B95" s="54" t="s">
        <v>100</v>
      </c>
      <c r="C95" s="54">
        <v>20.0</v>
      </c>
      <c r="D95" s="55" t="s">
        <v>72</v>
      </c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53">
        <v>46254.0</v>
      </c>
      <c r="B96" s="54" t="s">
        <v>89</v>
      </c>
      <c r="C96" s="54">
        <v>28.0</v>
      </c>
      <c r="D96" s="55" t="s">
        <v>72</v>
      </c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B97" s="54" t="s">
        <v>179</v>
      </c>
      <c r="C97" s="54">
        <v>22.0</v>
      </c>
      <c r="D97" s="55" t="s">
        <v>72</v>
      </c>
      <c r="E97" s="59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B98" s="54" t="s">
        <v>185</v>
      </c>
      <c r="C98" s="54">
        <v>597.0</v>
      </c>
      <c r="D98" s="55" t="s">
        <v>48</v>
      </c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53">
        <v>46255.0</v>
      </c>
      <c r="B99" s="54" t="s">
        <v>186</v>
      </c>
      <c r="C99" s="54">
        <v>190.0</v>
      </c>
      <c r="D99" s="55" t="s">
        <v>40</v>
      </c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B100" s="54" t="s">
        <v>50</v>
      </c>
      <c r="C100" s="54">
        <v>27.0</v>
      </c>
      <c r="D100" s="55" t="s">
        <v>40</v>
      </c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B101" s="54" t="s">
        <v>187</v>
      </c>
      <c r="C101" s="54">
        <v>126.0</v>
      </c>
      <c r="D101" s="55" t="s">
        <v>40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B102" s="54" t="s">
        <v>111</v>
      </c>
      <c r="C102" s="54">
        <v>20.0</v>
      </c>
      <c r="D102" s="55" t="s">
        <v>40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B103" s="54" t="s">
        <v>112</v>
      </c>
      <c r="C103" s="54">
        <v>46.0</v>
      </c>
      <c r="D103" s="55" t="s">
        <v>40</v>
      </c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53">
        <v>46256.0</v>
      </c>
      <c r="B104" s="54" t="s">
        <v>89</v>
      </c>
      <c r="C104" s="54">
        <v>27.0</v>
      </c>
      <c r="D104" s="55" t="s">
        <v>40</v>
      </c>
      <c r="E104" s="59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B105" s="54" t="s">
        <v>111</v>
      </c>
      <c r="C105" s="54">
        <v>35.0</v>
      </c>
      <c r="D105" s="55" t="s">
        <v>40</v>
      </c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B106" s="54" t="s">
        <v>186</v>
      </c>
      <c r="C106" s="54">
        <v>190.0</v>
      </c>
      <c r="D106" s="55" t="s">
        <v>40</v>
      </c>
      <c r="E106" s="59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B107" s="54" t="s">
        <v>138</v>
      </c>
      <c r="C107" s="54">
        <v>1000.0</v>
      </c>
      <c r="D107" s="55" t="s">
        <v>101</v>
      </c>
      <c r="E107" s="59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B108" s="54" t="s">
        <v>56</v>
      </c>
      <c r="C108" s="54">
        <v>26.0</v>
      </c>
      <c r="D108" s="55" t="s">
        <v>40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53">
        <v>46257.0</v>
      </c>
      <c r="B109" s="54" t="s">
        <v>143</v>
      </c>
      <c r="C109" s="54">
        <v>70.0</v>
      </c>
      <c r="D109" s="55" t="s">
        <v>40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B110" s="54" t="s">
        <v>80</v>
      </c>
      <c r="C110" s="54">
        <v>215.0</v>
      </c>
      <c r="D110" s="55" t="s">
        <v>40</v>
      </c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B111" s="54" t="s">
        <v>167</v>
      </c>
      <c r="C111" s="54">
        <v>20.0</v>
      </c>
      <c r="D111" s="55" t="s">
        <v>40</v>
      </c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53">
        <v>46258.0</v>
      </c>
      <c r="B112" s="54" t="s">
        <v>50</v>
      </c>
      <c r="C112" s="54">
        <v>32.0</v>
      </c>
      <c r="D112" s="55" t="s">
        <v>40</v>
      </c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B113" s="54" t="s">
        <v>56</v>
      </c>
      <c r="C113" s="54">
        <v>16.0</v>
      </c>
      <c r="D113" s="55" t="s">
        <v>40</v>
      </c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B114" s="54" t="s">
        <v>188</v>
      </c>
      <c r="C114" s="54">
        <v>25.0</v>
      </c>
      <c r="D114" s="55" t="s">
        <v>40</v>
      </c>
      <c r="E114" s="54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53">
        <v>46259.0</v>
      </c>
      <c r="B115" s="54" t="s">
        <v>189</v>
      </c>
      <c r="C115" s="54">
        <v>180.0</v>
      </c>
      <c r="D115" s="55" t="s">
        <v>190</v>
      </c>
      <c r="E115" s="59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B116" s="54" t="s">
        <v>56</v>
      </c>
      <c r="C116" s="54">
        <v>16.0</v>
      </c>
      <c r="D116" s="55" t="s">
        <v>40</v>
      </c>
      <c r="E116" s="59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B117" s="54" t="s">
        <v>50</v>
      </c>
      <c r="C117" s="59">
        <f>105-35-35</f>
        <v>35</v>
      </c>
      <c r="D117" s="55" t="s">
        <v>40</v>
      </c>
      <c r="E117" s="54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B118" s="54" t="s">
        <v>130</v>
      </c>
      <c r="C118" s="54">
        <v>56.0</v>
      </c>
      <c r="D118" s="55" t="s">
        <v>40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B119" s="54" t="s">
        <v>191</v>
      </c>
      <c r="C119" s="54">
        <v>1280.0</v>
      </c>
      <c r="D119" s="55" t="s">
        <v>40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B120" s="54" t="s">
        <v>192</v>
      </c>
      <c r="C120" s="54">
        <v>258.0</v>
      </c>
      <c r="D120" s="55" t="s">
        <v>40</v>
      </c>
      <c r="E120" s="54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B121" s="54" t="s">
        <v>192</v>
      </c>
      <c r="C121" s="54">
        <v>40.0</v>
      </c>
      <c r="D121" s="55" t="s">
        <v>40</v>
      </c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53">
        <v>46260.0</v>
      </c>
      <c r="B122" s="54" t="s">
        <v>50</v>
      </c>
      <c r="C122" s="54">
        <v>30.0</v>
      </c>
      <c r="D122" s="55" t="s">
        <v>40</v>
      </c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B123" s="54" t="s">
        <v>114</v>
      </c>
      <c r="C123" s="54">
        <v>20.0</v>
      </c>
      <c r="D123" s="55" t="s">
        <v>40</v>
      </c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B124" s="54" t="s">
        <v>91</v>
      </c>
      <c r="C124" s="54">
        <v>25.0</v>
      </c>
      <c r="D124" s="55" t="s">
        <v>40</v>
      </c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B125" s="54" t="s">
        <v>93</v>
      </c>
      <c r="C125" s="54">
        <v>126.0</v>
      </c>
      <c r="D125" s="55" t="s">
        <v>40</v>
      </c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53">
        <v>46261.0</v>
      </c>
      <c r="B126" s="54" t="s">
        <v>50</v>
      </c>
      <c r="C126" s="54">
        <v>28.0</v>
      </c>
      <c r="D126" s="55" t="s">
        <v>40</v>
      </c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B127" s="54" t="s">
        <v>114</v>
      </c>
      <c r="C127" s="54">
        <v>20.0</v>
      </c>
      <c r="D127" s="55" t="s">
        <v>40</v>
      </c>
      <c r="E127" s="59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B128" s="54" t="s">
        <v>136</v>
      </c>
      <c r="C128" s="54">
        <v>22.0</v>
      </c>
      <c r="D128" s="55" t="s">
        <v>40</v>
      </c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B129" s="54" t="s">
        <v>130</v>
      </c>
      <c r="C129" s="54">
        <v>64.0</v>
      </c>
      <c r="D129" s="55" t="s">
        <v>40</v>
      </c>
      <c r="E129" s="59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B130" s="54" t="s">
        <v>193</v>
      </c>
      <c r="C130" s="54">
        <v>75.0</v>
      </c>
      <c r="D130" s="55" t="s">
        <v>40</v>
      </c>
      <c r="E130" s="59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B131" s="54" t="s">
        <v>56</v>
      </c>
      <c r="C131" s="54">
        <v>24.0</v>
      </c>
      <c r="D131" s="55" t="s">
        <v>40</v>
      </c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87"/>
      <c r="B132" s="59"/>
      <c r="C132" s="59"/>
      <c r="D132" s="55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87"/>
      <c r="B133" s="59"/>
      <c r="C133" s="59"/>
      <c r="D133" s="55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87"/>
      <c r="B134" s="59"/>
      <c r="C134" s="59"/>
      <c r="D134" s="55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87"/>
      <c r="B135" s="59"/>
      <c r="C135" s="59"/>
      <c r="D135" s="55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87"/>
      <c r="B136" s="59"/>
      <c r="C136" s="59"/>
      <c r="D136" s="86"/>
      <c r="E136" s="59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87"/>
      <c r="B137" s="59"/>
      <c r="C137" s="59"/>
      <c r="D137" s="86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87"/>
      <c r="B138" s="59"/>
      <c r="C138" s="59"/>
      <c r="D138" s="86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87"/>
      <c r="B139" s="59"/>
      <c r="C139" s="59"/>
      <c r="D139" s="86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87"/>
      <c r="B140" s="59"/>
      <c r="C140" s="59"/>
      <c r="D140" s="86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87"/>
      <c r="B141" s="59"/>
      <c r="C141" s="59"/>
      <c r="D141" s="86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87"/>
      <c r="B142" s="59"/>
      <c r="C142" s="59"/>
      <c r="D142" s="86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87"/>
      <c r="B143" s="59"/>
      <c r="C143" s="59"/>
      <c r="D143" s="86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87"/>
      <c r="B144" s="59"/>
      <c r="C144" s="59"/>
      <c r="D144" s="86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87"/>
      <c r="B145" s="59"/>
      <c r="C145" s="59"/>
      <c r="D145" s="86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87"/>
      <c r="B146" s="59"/>
      <c r="C146" s="59"/>
      <c r="D146" s="86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87"/>
      <c r="B147" s="59"/>
      <c r="C147" s="59"/>
      <c r="D147" s="86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87"/>
      <c r="B148" s="59"/>
      <c r="C148" s="59"/>
      <c r="D148" s="86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87"/>
      <c r="B149" s="59"/>
      <c r="C149" s="59"/>
      <c r="D149" s="86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87"/>
      <c r="B150" s="59"/>
      <c r="C150" s="59"/>
      <c r="D150" s="86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84"/>
      <c r="B151" s="50"/>
      <c r="C151" s="59"/>
      <c r="D151" s="86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84"/>
      <c r="B152" s="50"/>
      <c r="C152" s="59"/>
      <c r="D152" s="86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84"/>
      <c r="B153" s="50"/>
      <c r="C153" s="59"/>
      <c r="D153" s="86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84"/>
      <c r="B154" s="88"/>
      <c r="C154" s="89"/>
      <c r="D154" s="86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84"/>
      <c r="B155" s="88"/>
      <c r="C155" s="89"/>
      <c r="D155" s="84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84"/>
      <c r="B156" s="88"/>
      <c r="C156" s="89"/>
      <c r="D156" s="84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84"/>
      <c r="B157" s="88"/>
      <c r="C157" s="89"/>
      <c r="D157" s="84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84"/>
      <c r="B158" s="88"/>
      <c r="C158" s="89"/>
      <c r="D158" s="84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84"/>
      <c r="B159" s="88"/>
      <c r="C159" s="89"/>
      <c r="D159" s="84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84"/>
      <c r="B160" s="88"/>
      <c r="C160" s="89"/>
      <c r="D160" s="84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84"/>
      <c r="B161" s="88"/>
      <c r="C161" s="89"/>
      <c r="D161" s="84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84"/>
      <c r="B162" s="88"/>
      <c r="C162" s="89"/>
      <c r="D162" s="84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84"/>
      <c r="B163" s="88"/>
      <c r="C163" s="89"/>
      <c r="D163" s="84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84"/>
      <c r="B164" s="88"/>
      <c r="C164" s="89"/>
      <c r="D164" s="84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84"/>
      <c r="B165" s="88"/>
      <c r="C165" s="89"/>
      <c r="D165" s="84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84"/>
      <c r="B166" s="88"/>
      <c r="C166" s="89"/>
      <c r="D166" s="84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84"/>
      <c r="B167" s="88"/>
      <c r="C167" s="89"/>
      <c r="D167" s="84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84"/>
      <c r="B168" s="88"/>
      <c r="C168" s="89"/>
      <c r="D168" s="84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84"/>
      <c r="B169" s="88"/>
      <c r="C169" s="89"/>
      <c r="D169" s="84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84"/>
      <c r="B170" s="88"/>
      <c r="C170" s="89"/>
      <c r="D170" s="84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84"/>
      <c r="B171" s="88"/>
      <c r="C171" s="89"/>
      <c r="D171" s="84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84"/>
      <c r="B172" s="88"/>
      <c r="C172" s="89"/>
      <c r="D172" s="84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84"/>
      <c r="B173" s="88"/>
      <c r="C173" s="89"/>
      <c r="D173" s="84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84"/>
      <c r="B174" s="88"/>
      <c r="C174" s="89"/>
      <c r="D174" s="84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84"/>
      <c r="B175" s="88"/>
      <c r="C175" s="89"/>
      <c r="D175" s="84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84"/>
      <c r="B176" s="88"/>
      <c r="C176" s="89"/>
      <c r="D176" s="84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84"/>
      <c r="B177" s="88"/>
      <c r="C177" s="89"/>
      <c r="D177" s="84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84"/>
      <c r="B178" s="88"/>
      <c r="C178" s="89"/>
      <c r="D178" s="84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84"/>
      <c r="B179" s="88"/>
      <c r="C179" s="89"/>
      <c r="D179" s="84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84"/>
      <c r="B180" s="88"/>
      <c r="C180" s="89"/>
      <c r="D180" s="84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84"/>
      <c r="B181" s="88"/>
      <c r="C181" s="89"/>
      <c r="D181" s="84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84"/>
      <c r="B182" s="88"/>
      <c r="C182" s="89"/>
      <c r="D182" s="84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84"/>
      <c r="B183" s="88"/>
      <c r="C183" s="89"/>
      <c r="D183" s="84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84"/>
      <c r="B184" s="88"/>
      <c r="C184" s="89"/>
      <c r="D184" s="84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84"/>
      <c r="B185" s="88"/>
      <c r="C185" s="89"/>
      <c r="D185" s="84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84"/>
      <c r="B186" s="88"/>
      <c r="C186" s="89"/>
      <c r="D186" s="84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84"/>
      <c r="B187" s="88"/>
      <c r="C187" s="89"/>
      <c r="D187" s="84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84"/>
      <c r="B188" s="88"/>
      <c r="C188" s="89"/>
      <c r="D188" s="84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84"/>
      <c r="B189" s="88"/>
      <c r="C189" s="89"/>
      <c r="D189" s="84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84"/>
      <c r="B190" s="88"/>
      <c r="C190" s="89"/>
      <c r="D190" s="84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84"/>
      <c r="B191" s="88"/>
      <c r="C191" s="89"/>
      <c r="D191" s="84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84"/>
      <c r="B192" s="88"/>
      <c r="C192" s="89"/>
      <c r="D192" s="84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84"/>
      <c r="B193" s="88"/>
      <c r="C193" s="89"/>
      <c r="D193" s="84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84"/>
      <c r="B194" s="88"/>
      <c r="C194" s="89"/>
      <c r="D194" s="84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84"/>
      <c r="B195" s="88"/>
      <c r="C195" s="89"/>
      <c r="D195" s="84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84"/>
      <c r="B196" s="88"/>
      <c r="C196" s="89"/>
      <c r="D196" s="84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84"/>
      <c r="B197" s="88"/>
      <c r="C197" s="89"/>
      <c r="D197" s="84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84"/>
      <c r="B198" s="88"/>
      <c r="C198" s="89"/>
      <c r="D198" s="84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84"/>
      <c r="B199" s="88"/>
      <c r="C199" s="89"/>
      <c r="D199" s="84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84"/>
      <c r="B200" s="88"/>
      <c r="C200" s="89"/>
      <c r="D200" s="84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84"/>
      <c r="B201" s="88"/>
      <c r="C201" s="89"/>
      <c r="D201" s="84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84"/>
      <c r="B202" s="88"/>
      <c r="C202" s="89"/>
      <c r="D202" s="84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84"/>
      <c r="B203" s="88"/>
      <c r="C203" s="89"/>
      <c r="D203" s="84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84"/>
      <c r="B204" s="88"/>
      <c r="C204" s="89"/>
      <c r="D204" s="84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84"/>
      <c r="B205" s="88"/>
      <c r="C205" s="89"/>
      <c r="D205" s="84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84"/>
      <c r="B206" s="88"/>
      <c r="C206" s="89"/>
      <c r="D206" s="84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84"/>
      <c r="B207" s="88"/>
      <c r="C207" s="89"/>
      <c r="D207" s="84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84"/>
      <c r="B208" s="88"/>
      <c r="C208" s="89"/>
      <c r="D208" s="84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84"/>
      <c r="B209" s="88"/>
      <c r="C209" s="89"/>
      <c r="D209" s="84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84"/>
      <c r="B210" s="88"/>
      <c r="C210" s="89"/>
      <c r="D210" s="84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84"/>
      <c r="B211" s="88"/>
      <c r="C211" s="89"/>
      <c r="D211" s="84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84"/>
      <c r="B212" s="88"/>
      <c r="C212" s="89"/>
      <c r="D212" s="84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84"/>
      <c r="B213" s="88"/>
      <c r="C213" s="89"/>
      <c r="D213" s="84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84"/>
      <c r="B214" s="88"/>
      <c r="C214" s="89"/>
      <c r="D214" s="84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84"/>
      <c r="B215" s="88"/>
      <c r="C215" s="89"/>
      <c r="D215" s="84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84"/>
      <c r="B216" s="88"/>
      <c r="C216" s="89"/>
      <c r="D216" s="84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84"/>
      <c r="B217" s="88"/>
      <c r="C217" s="89"/>
      <c r="D217" s="84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84"/>
      <c r="B218" s="88"/>
      <c r="C218" s="89"/>
      <c r="D218" s="84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84"/>
      <c r="B219" s="88"/>
      <c r="C219" s="89"/>
      <c r="D219" s="84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84"/>
      <c r="B220" s="88"/>
      <c r="C220" s="89"/>
      <c r="D220" s="84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84"/>
      <c r="B221" s="88"/>
      <c r="C221" s="89"/>
      <c r="D221" s="84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84"/>
      <c r="B222" s="88"/>
      <c r="C222" s="89"/>
      <c r="D222" s="84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84"/>
      <c r="B223" s="88"/>
      <c r="C223" s="89"/>
      <c r="D223" s="84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84"/>
      <c r="B224" s="88"/>
      <c r="C224" s="89"/>
      <c r="D224" s="84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84"/>
      <c r="B225" s="88"/>
      <c r="C225" s="89"/>
      <c r="D225" s="84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84"/>
      <c r="B226" s="88"/>
      <c r="C226" s="89"/>
      <c r="D226" s="84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84"/>
      <c r="B227" s="88"/>
      <c r="C227" s="89"/>
      <c r="D227" s="84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84"/>
      <c r="B228" s="88"/>
      <c r="C228" s="90"/>
      <c r="D228" s="84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84"/>
      <c r="B229" s="88"/>
      <c r="C229" s="90"/>
      <c r="D229" s="84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84"/>
      <c r="B230" s="88"/>
      <c r="C230" s="90"/>
      <c r="D230" s="84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84"/>
      <c r="B231" s="88"/>
      <c r="C231" s="90"/>
      <c r="D231" s="84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84"/>
      <c r="B232" s="88"/>
      <c r="C232" s="90"/>
      <c r="D232" s="84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84"/>
      <c r="B233" s="88"/>
      <c r="C233" s="90"/>
      <c r="D233" s="84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84"/>
      <c r="B234" s="88"/>
      <c r="C234" s="90"/>
      <c r="D234" s="84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84"/>
      <c r="B235" s="88"/>
      <c r="C235" s="90"/>
      <c r="D235" s="84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84"/>
      <c r="B236" s="88"/>
      <c r="C236" s="90"/>
      <c r="D236" s="84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84"/>
      <c r="B237" s="88"/>
      <c r="C237" s="90"/>
      <c r="D237" s="84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84"/>
      <c r="B238" s="88"/>
      <c r="C238" s="90"/>
      <c r="D238" s="84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84"/>
      <c r="B239" s="88"/>
      <c r="C239" s="90"/>
      <c r="D239" s="84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84"/>
      <c r="B240" s="88"/>
      <c r="C240" s="90"/>
      <c r="D240" s="84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84"/>
      <c r="B241" s="88"/>
      <c r="C241" s="90"/>
      <c r="D241" s="84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84"/>
      <c r="B242" s="88"/>
      <c r="C242" s="90"/>
      <c r="D242" s="84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84"/>
      <c r="B243" s="88"/>
      <c r="C243" s="90"/>
      <c r="D243" s="84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84"/>
      <c r="B244" s="88"/>
      <c r="C244" s="90"/>
      <c r="D244" s="84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84"/>
      <c r="B245" s="88"/>
      <c r="C245" s="90"/>
      <c r="D245" s="84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84"/>
      <c r="B246" s="88"/>
      <c r="C246" s="90"/>
      <c r="D246" s="84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84"/>
      <c r="B247" s="88"/>
      <c r="C247" s="90"/>
      <c r="D247" s="84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84"/>
      <c r="B248" s="88"/>
      <c r="C248" s="90"/>
      <c r="D248" s="84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84"/>
      <c r="B249" s="88"/>
      <c r="C249" s="90"/>
      <c r="D249" s="84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84"/>
      <c r="B250" s="88"/>
      <c r="C250" s="90"/>
      <c r="D250" s="84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84"/>
      <c r="B251" s="88"/>
      <c r="C251" s="90"/>
      <c r="D251" s="84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84"/>
      <c r="B252" s="88"/>
      <c r="C252" s="90"/>
      <c r="D252" s="84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84"/>
      <c r="B253" s="88"/>
      <c r="C253" s="90"/>
      <c r="D253" s="84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84"/>
      <c r="B254" s="88"/>
      <c r="C254" s="90"/>
      <c r="D254" s="84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84"/>
      <c r="B255" s="88"/>
      <c r="C255" s="90"/>
      <c r="D255" s="84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84"/>
      <c r="B256" s="88"/>
      <c r="C256" s="90"/>
      <c r="D256" s="84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84"/>
      <c r="B257" s="88"/>
      <c r="C257" s="90"/>
      <c r="D257" s="84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84"/>
      <c r="B258" s="88"/>
      <c r="C258" s="90"/>
      <c r="D258" s="84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84"/>
      <c r="B259" s="88"/>
      <c r="C259" s="90"/>
      <c r="D259" s="84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84"/>
      <c r="B260" s="88"/>
      <c r="C260" s="90"/>
      <c r="D260" s="84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84"/>
      <c r="B261" s="88"/>
      <c r="C261" s="90"/>
      <c r="D261" s="84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84"/>
      <c r="B262" s="88"/>
      <c r="C262" s="90"/>
      <c r="D262" s="84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84"/>
      <c r="B263" s="88"/>
      <c r="C263" s="90"/>
      <c r="D263" s="84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84"/>
      <c r="B264" s="88"/>
      <c r="C264" s="90"/>
      <c r="D264" s="84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84"/>
      <c r="B265" s="88"/>
      <c r="C265" s="90"/>
      <c r="D265" s="84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84"/>
      <c r="B266" s="88"/>
      <c r="C266" s="90"/>
      <c r="D266" s="84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84"/>
      <c r="B267" s="88"/>
      <c r="C267" s="90"/>
      <c r="D267" s="84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84"/>
      <c r="B268" s="88"/>
      <c r="C268" s="90"/>
      <c r="D268" s="84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84"/>
      <c r="B269" s="88"/>
      <c r="C269" s="90"/>
      <c r="D269" s="84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84"/>
      <c r="B270" s="88"/>
      <c r="C270" s="90"/>
      <c r="D270" s="84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84"/>
      <c r="B271" s="88"/>
      <c r="C271" s="90"/>
      <c r="D271" s="84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84"/>
      <c r="B272" s="88"/>
      <c r="C272" s="90"/>
      <c r="D272" s="84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84"/>
      <c r="B273" s="88"/>
      <c r="C273" s="90"/>
      <c r="D273" s="84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84"/>
      <c r="B274" s="88"/>
      <c r="C274" s="90"/>
      <c r="D274" s="84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84"/>
      <c r="B275" s="88"/>
      <c r="C275" s="90"/>
      <c r="D275" s="84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84"/>
      <c r="B276" s="88"/>
      <c r="C276" s="90"/>
      <c r="D276" s="84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84"/>
      <c r="B277" s="88"/>
      <c r="C277" s="90"/>
      <c r="D277" s="84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84"/>
      <c r="B278" s="88"/>
      <c r="C278" s="90"/>
      <c r="D278" s="84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84"/>
      <c r="B279" s="88"/>
      <c r="C279" s="90"/>
      <c r="D279" s="84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84"/>
      <c r="B280" s="88"/>
      <c r="C280" s="90"/>
      <c r="D280" s="84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84"/>
      <c r="B281" s="88"/>
      <c r="C281" s="90"/>
      <c r="D281" s="84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84"/>
      <c r="B282" s="88"/>
      <c r="C282" s="90"/>
      <c r="D282" s="84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84"/>
      <c r="B283" s="88"/>
      <c r="C283" s="90"/>
      <c r="D283" s="84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84"/>
      <c r="B284" s="88"/>
      <c r="C284" s="90"/>
      <c r="D284" s="84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84"/>
      <c r="B285" s="88"/>
      <c r="C285" s="90"/>
      <c r="D285" s="84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84"/>
      <c r="B286" s="88"/>
      <c r="C286" s="90"/>
      <c r="D286" s="84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84"/>
      <c r="B287" s="88"/>
      <c r="C287" s="90"/>
      <c r="D287" s="84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84"/>
      <c r="B288" s="88"/>
      <c r="C288" s="90"/>
      <c r="D288" s="84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84"/>
      <c r="B289" s="88"/>
      <c r="C289" s="90"/>
      <c r="D289" s="84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84"/>
      <c r="B290" s="88"/>
      <c r="C290" s="90"/>
      <c r="D290" s="84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84"/>
      <c r="B291" s="88"/>
      <c r="C291" s="90"/>
      <c r="D291" s="84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84"/>
      <c r="B292" s="88"/>
      <c r="C292" s="90"/>
      <c r="D292" s="84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84"/>
      <c r="B293" s="88"/>
      <c r="C293" s="90"/>
      <c r="D293" s="84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84"/>
      <c r="B294" s="88"/>
      <c r="C294" s="90"/>
      <c r="D294" s="84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84"/>
      <c r="B295" s="88"/>
      <c r="C295" s="90"/>
      <c r="D295" s="84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84"/>
      <c r="B296" s="88"/>
      <c r="C296" s="90"/>
      <c r="D296" s="84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84"/>
      <c r="B297" s="88"/>
      <c r="C297" s="90"/>
      <c r="D297" s="84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84"/>
      <c r="B298" s="88"/>
      <c r="C298" s="90"/>
      <c r="D298" s="84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84"/>
      <c r="B299" s="88"/>
      <c r="C299" s="90"/>
      <c r="D299" s="84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84"/>
      <c r="B300" s="88"/>
      <c r="C300" s="90"/>
      <c r="D300" s="84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84"/>
      <c r="B301" s="88"/>
      <c r="C301" s="90"/>
      <c r="D301" s="84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84"/>
      <c r="B302" s="88"/>
      <c r="C302" s="90"/>
      <c r="D302" s="84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84"/>
      <c r="B303" s="88"/>
      <c r="C303" s="90"/>
      <c r="D303" s="84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84"/>
      <c r="B304" s="88"/>
      <c r="C304" s="90"/>
      <c r="D304" s="84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84"/>
      <c r="B305" s="88"/>
      <c r="C305" s="90"/>
      <c r="D305" s="84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84"/>
      <c r="B306" s="88"/>
      <c r="C306" s="90"/>
      <c r="D306" s="84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84"/>
      <c r="B307" s="88"/>
      <c r="C307" s="90"/>
      <c r="D307" s="84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84"/>
      <c r="B308" s="88"/>
      <c r="C308" s="90"/>
      <c r="D308" s="84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84"/>
      <c r="B309" s="88"/>
      <c r="C309" s="90"/>
      <c r="D309" s="84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84"/>
      <c r="B310" s="88"/>
      <c r="C310" s="90"/>
      <c r="D310" s="84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84"/>
      <c r="B311" s="88"/>
      <c r="C311" s="90"/>
      <c r="D311" s="84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84"/>
      <c r="B312" s="88"/>
      <c r="C312" s="90"/>
      <c r="D312" s="84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84"/>
      <c r="B313" s="88"/>
      <c r="C313" s="90"/>
      <c r="D313" s="84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84"/>
      <c r="B314" s="88"/>
      <c r="C314" s="90"/>
      <c r="D314" s="84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84"/>
      <c r="B315" s="88"/>
      <c r="C315" s="90"/>
      <c r="D315" s="84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84"/>
      <c r="B316" s="88"/>
      <c r="C316" s="90"/>
      <c r="D316" s="84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84"/>
      <c r="B317" s="88"/>
      <c r="C317" s="90"/>
      <c r="D317" s="84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84"/>
      <c r="B318" s="88"/>
      <c r="C318" s="90"/>
      <c r="D318" s="84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84"/>
      <c r="B319" s="88"/>
      <c r="C319" s="90"/>
      <c r="D319" s="84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84"/>
      <c r="B320" s="88"/>
      <c r="C320" s="90"/>
      <c r="D320" s="84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84"/>
      <c r="B321" s="88"/>
      <c r="C321" s="90"/>
      <c r="D321" s="84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84"/>
      <c r="B322" s="88"/>
      <c r="C322" s="90"/>
      <c r="D322" s="84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84"/>
      <c r="B323" s="88"/>
      <c r="C323" s="90"/>
      <c r="D323" s="84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84"/>
      <c r="B324" s="88"/>
      <c r="C324" s="90"/>
      <c r="D324" s="84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84"/>
      <c r="B325" s="88"/>
      <c r="C325" s="90"/>
      <c r="D325" s="84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84"/>
      <c r="B326" s="88"/>
      <c r="C326" s="90"/>
      <c r="D326" s="84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84"/>
      <c r="B327" s="88"/>
      <c r="C327" s="90"/>
      <c r="D327" s="84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84"/>
      <c r="B328" s="88"/>
      <c r="C328" s="90"/>
      <c r="D328" s="84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84"/>
      <c r="B329" s="88"/>
      <c r="C329" s="90"/>
      <c r="D329" s="84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84"/>
      <c r="B330" s="88"/>
      <c r="C330" s="90"/>
      <c r="D330" s="84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84"/>
      <c r="B331" s="88"/>
      <c r="C331" s="90"/>
      <c r="D331" s="84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84"/>
      <c r="B332" s="88"/>
      <c r="C332" s="90"/>
      <c r="D332" s="84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84"/>
      <c r="B333" s="88"/>
      <c r="C333" s="90"/>
      <c r="D333" s="84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84"/>
      <c r="B334" s="88"/>
      <c r="C334" s="90"/>
      <c r="D334" s="84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84"/>
      <c r="B335" s="88"/>
      <c r="C335" s="90"/>
      <c r="D335" s="84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84"/>
      <c r="B336" s="88"/>
      <c r="C336" s="90"/>
      <c r="D336" s="84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84"/>
      <c r="B337" s="88"/>
      <c r="C337" s="90"/>
      <c r="D337" s="84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84"/>
      <c r="B338" s="88"/>
      <c r="C338" s="90"/>
      <c r="D338" s="84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84"/>
      <c r="B339" s="88"/>
      <c r="C339" s="90"/>
      <c r="D339" s="84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84"/>
      <c r="B340" s="88"/>
      <c r="C340" s="90"/>
      <c r="D340" s="84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84"/>
      <c r="B341" s="88"/>
      <c r="C341" s="90"/>
      <c r="D341" s="84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84"/>
      <c r="B342" s="88"/>
      <c r="C342" s="90"/>
      <c r="D342" s="84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84"/>
      <c r="B343" s="88"/>
      <c r="C343" s="90"/>
      <c r="D343" s="84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84"/>
      <c r="B344" s="88"/>
      <c r="C344" s="90"/>
      <c r="D344" s="84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84"/>
      <c r="B345" s="88"/>
      <c r="C345" s="90"/>
      <c r="D345" s="84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84"/>
      <c r="B346" s="88"/>
      <c r="C346" s="90"/>
      <c r="D346" s="84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84"/>
      <c r="B347" s="88"/>
      <c r="C347" s="90"/>
      <c r="D347" s="84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84"/>
      <c r="B348" s="88"/>
      <c r="C348" s="90"/>
      <c r="D348" s="84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84"/>
      <c r="B349" s="88"/>
      <c r="C349" s="90"/>
      <c r="D349" s="84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84"/>
      <c r="B350" s="88"/>
      <c r="C350" s="90"/>
      <c r="D350" s="84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84"/>
      <c r="B351" s="88"/>
      <c r="C351" s="90"/>
      <c r="D351" s="84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84"/>
      <c r="B352" s="88"/>
      <c r="C352" s="90"/>
      <c r="D352" s="84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84"/>
      <c r="B353" s="88"/>
      <c r="C353" s="90"/>
      <c r="D353" s="84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84"/>
      <c r="B354" s="88"/>
      <c r="C354" s="90"/>
      <c r="D354" s="84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84"/>
      <c r="B355" s="88"/>
      <c r="C355" s="90"/>
      <c r="D355" s="84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84"/>
      <c r="B356" s="88"/>
      <c r="C356" s="90"/>
      <c r="D356" s="84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84"/>
      <c r="B357" s="88"/>
      <c r="C357" s="90"/>
      <c r="D357" s="84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84"/>
      <c r="B358" s="88"/>
      <c r="C358" s="90"/>
      <c r="D358" s="84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84"/>
      <c r="B359" s="88"/>
      <c r="C359" s="90"/>
      <c r="D359" s="84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84"/>
      <c r="B360" s="88"/>
      <c r="C360" s="90"/>
      <c r="D360" s="84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84"/>
      <c r="B361" s="88"/>
      <c r="C361" s="90"/>
      <c r="D361" s="84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84"/>
      <c r="B362" s="88"/>
      <c r="C362" s="90"/>
      <c r="D362" s="84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84"/>
      <c r="B363" s="88"/>
      <c r="C363" s="90"/>
      <c r="D363" s="84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84"/>
      <c r="B364" s="88"/>
      <c r="C364" s="90"/>
      <c r="D364" s="84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84"/>
      <c r="B365" s="88"/>
      <c r="C365" s="90"/>
      <c r="D365" s="84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84"/>
      <c r="B366" s="88"/>
      <c r="C366" s="90"/>
      <c r="D366" s="84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84"/>
      <c r="B367" s="88"/>
      <c r="C367" s="90"/>
      <c r="D367" s="84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84"/>
      <c r="B368" s="88"/>
      <c r="C368" s="90"/>
      <c r="D368" s="84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84"/>
      <c r="B369" s="88"/>
      <c r="C369" s="90"/>
      <c r="D369" s="84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84"/>
      <c r="B370" s="88"/>
      <c r="C370" s="90"/>
      <c r="D370" s="84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84"/>
      <c r="B371" s="88"/>
      <c r="C371" s="90"/>
      <c r="D371" s="84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84"/>
      <c r="B372" s="88"/>
      <c r="C372" s="90"/>
      <c r="D372" s="84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84"/>
      <c r="B373" s="88"/>
      <c r="C373" s="90"/>
      <c r="D373" s="84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84"/>
      <c r="B374" s="88"/>
      <c r="C374" s="90"/>
      <c r="D374" s="84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84"/>
      <c r="B375" s="88"/>
      <c r="C375" s="90"/>
      <c r="D375" s="84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84"/>
      <c r="B376" s="88"/>
      <c r="C376" s="90"/>
      <c r="D376" s="84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84"/>
      <c r="B377" s="88"/>
      <c r="C377" s="90"/>
      <c r="D377" s="84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84"/>
      <c r="B378" s="88"/>
      <c r="C378" s="90"/>
      <c r="D378" s="84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84"/>
      <c r="B379" s="88"/>
      <c r="C379" s="90"/>
      <c r="D379" s="84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84"/>
      <c r="B380" s="88"/>
      <c r="C380" s="90"/>
      <c r="D380" s="84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84"/>
      <c r="B381" s="88"/>
      <c r="C381" s="90"/>
      <c r="D381" s="84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84"/>
      <c r="B382" s="88"/>
      <c r="C382" s="90"/>
      <c r="D382" s="84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84"/>
      <c r="B383" s="88"/>
      <c r="C383" s="90"/>
      <c r="D383" s="84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84"/>
      <c r="B384" s="88"/>
      <c r="C384" s="90"/>
      <c r="D384" s="84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84"/>
      <c r="B385" s="88"/>
      <c r="C385" s="90"/>
      <c r="D385" s="84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84"/>
      <c r="B386" s="88"/>
      <c r="C386" s="90"/>
      <c r="D386" s="84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84"/>
      <c r="B387" s="88"/>
      <c r="C387" s="90"/>
      <c r="D387" s="84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84"/>
      <c r="B388" s="88"/>
      <c r="C388" s="90"/>
      <c r="D388" s="84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84"/>
      <c r="B389" s="88"/>
      <c r="C389" s="90"/>
      <c r="D389" s="84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84"/>
      <c r="B390" s="88"/>
      <c r="C390" s="90"/>
      <c r="D390" s="84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84"/>
      <c r="B391" s="88"/>
      <c r="C391" s="90"/>
      <c r="D391" s="84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84"/>
      <c r="B392" s="88"/>
      <c r="C392" s="90"/>
      <c r="D392" s="84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84"/>
      <c r="B393" s="88"/>
      <c r="C393" s="90"/>
      <c r="D393" s="84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84"/>
      <c r="B394" s="88"/>
      <c r="C394" s="90"/>
      <c r="D394" s="84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84"/>
      <c r="B395" s="88"/>
      <c r="C395" s="90"/>
      <c r="D395" s="84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84"/>
      <c r="B396" s="88"/>
      <c r="C396" s="90"/>
      <c r="D396" s="84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84"/>
      <c r="B397" s="88"/>
      <c r="C397" s="90"/>
      <c r="D397" s="84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84"/>
      <c r="B398" s="88"/>
      <c r="C398" s="90"/>
      <c r="D398" s="84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84"/>
      <c r="B399" s="88"/>
      <c r="C399" s="90"/>
      <c r="D399" s="84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84"/>
      <c r="B400" s="88"/>
      <c r="C400" s="90"/>
      <c r="D400" s="84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84"/>
      <c r="B401" s="88"/>
      <c r="C401" s="90"/>
      <c r="D401" s="84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84"/>
      <c r="B402" s="88"/>
      <c r="C402" s="90"/>
      <c r="D402" s="84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84"/>
      <c r="B403" s="88"/>
      <c r="C403" s="90"/>
      <c r="D403" s="84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84"/>
      <c r="B404" s="88"/>
      <c r="C404" s="90"/>
      <c r="D404" s="84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84"/>
      <c r="B405" s="88"/>
      <c r="C405" s="90"/>
      <c r="D405" s="84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84"/>
      <c r="B406" s="88"/>
      <c r="C406" s="90"/>
      <c r="D406" s="84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84"/>
      <c r="B407" s="88"/>
      <c r="C407" s="90"/>
      <c r="D407" s="84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84"/>
      <c r="B408" s="88"/>
      <c r="C408" s="90"/>
      <c r="D408" s="84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84"/>
      <c r="B409" s="88"/>
      <c r="C409" s="90"/>
      <c r="D409" s="84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84"/>
      <c r="B410" s="88"/>
      <c r="C410" s="90"/>
      <c r="D410" s="84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84"/>
      <c r="B411" s="88"/>
      <c r="C411" s="90"/>
      <c r="D411" s="84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84"/>
      <c r="B412" s="88"/>
      <c r="C412" s="90"/>
      <c r="D412" s="84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84"/>
      <c r="B413" s="88"/>
      <c r="C413" s="90"/>
      <c r="D413" s="84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84"/>
      <c r="B414" s="88"/>
      <c r="C414" s="90"/>
      <c r="D414" s="84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84"/>
      <c r="B415" s="88"/>
      <c r="C415" s="90"/>
      <c r="D415" s="84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84"/>
      <c r="B416" s="88"/>
      <c r="C416" s="90"/>
      <c r="D416" s="84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84"/>
      <c r="B417" s="88"/>
      <c r="C417" s="90"/>
      <c r="D417" s="84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84"/>
      <c r="B418" s="88"/>
      <c r="C418" s="90"/>
      <c r="D418" s="84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84"/>
      <c r="B419" s="88"/>
      <c r="C419" s="90"/>
      <c r="D419" s="84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84"/>
      <c r="B420" s="88"/>
      <c r="C420" s="90"/>
      <c r="D420" s="84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84"/>
      <c r="B421" s="88"/>
      <c r="C421" s="90"/>
      <c r="D421" s="84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84"/>
      <c r="B422" s="88"/>
      <c r="C422" s="90"/>
      <c r="D422" s="84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84"/>
      <c r="B423" s="88"/>
      <c r="C423" s="90"/>
      <c r="D423" s="84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84"/>
      <c r="B424" s="88"/>
      <c r="C424" s="90"/>
      <c r="D424" s="84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84"/>
      <c r="B425" s="88"/>
      <c r="C425" s="90"/>
      <c r="D425" s="84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84"/>
      <c r="B426" s="88"/>
      <c r="C426" s="90"/>
      <c r="D426" s="84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84"/>
      <c r="B427" s="88"/>
      <c r="C427" s="90"/>
      <c r="D427" s="84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84"/>
      <c r="B428" s="88"/>
      <c r="C428" s="90"/>
      <c r="D428" s="84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84"/>
      <c r="B429" s="88"/>
      <c r="C429" s="90"/>
      <c r="D429" s="84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84"/>
      <c r="B430" s="88"/>
      <c r="C430" s="90"/>
      <c r="D430" s="84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84"/>
      <c r="B431" s="88"/>
      <c r="C431" s="90"/>
      <c r="D431" s="84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84"/>
      <c r="B432" s="88"/>
      <c r="C432" s="90"/>
      <c r="D432" s="84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84"/>
      <c r="B433" s="88"/>
      <c r="C433" s="90"/>
      <c r="D433" s="84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84"/>
      <c r="B434" s="88"/>
      <c r="C434" s="90"/>
      <c r="D434" s="84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84"/>
      <c r="B435" s="88"/>
      <c r="C435" s="90"/>
      <c r="D435" s="84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84"/>
      <c r="B436" s="88"/>
      <c r="C436" s="90"/>
      <c r="D436" s="84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84"/>
      <c r="B437" s="88"/>
      <c r="C437" s="90"/>
      <c r="D437" s="84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84"/>
      <c r="B438" s="88"/>
      <c r="C438" s="90"/>
      <c r="D438" s="84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84"/>
      <c r="B439" s="88"/>
      <c r="C439" s="90"/>
      <c r="D439" s="84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84"/>
      <c r="B440" s="88"/>
      <c r="C440" s="90"/>
      <c r="D440" s="84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84"/>
      <c r="B441" s="88"/>
      <c r="C441" s="90"/>
      <c r="D441" s="84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84"/>
      <c r="B442" s="88"/>
      <c r="C442" s="90"/>
      <c r="D442" s="84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84"/>
      <c r="B443" s="88"/>
      <c r="C443" s="90"/>
      <c r="D443" s="84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84"/>
      <c r="B444" s="88"/>
      <c r="C444" s="90"/>
      <c r="D444" s="84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84"/>
      <c r="B445" s="88"/>
      <c r="C445" s="90"/>
      <c r="D445" s="84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84"/>
      <c r="B446" s="88"/>
      <c r="C446" s="90"/>
      <c r="D446" s="84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84"/>
      <c r="B447" s="88"/>
      <c r="C447" s="90"/>
      <c r="D447" s="84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84"/>
      <c r="B448" s="88"/>
      <c r="C448" s="90"/>
      <c r="D448" s="84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84"/>
      <c r="B449" s="88"/>
      <c r="C449" s="90"/>
      <c r="D449" s="84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84"/>
      <c r="B450" s="88"/>
      <c r="C450" s="90"/>
      <c r="D450" s="84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84"/>
      <c r="B451" s="88"/>
      <c r="C451" s="90"/>
      <c r="D451" s="84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84"/>
      <c r="B452" s="88"/>
      <c r="C452" s="90"/>
      <c r="D452" s="84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84"/>
      <c r="B453" s="88"/>
      <c r="C453" s="90"/>
      <c r="D453" s="84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84"/>
      <c r="B454" s="88"/>
      <c r="C454" s="90"/>
      <c r="D454" s="84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84"/>
      <c r="B455" s="88"/>
      <c r="C455" s="90"/>
      <c r="D455" s="84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84"/>
      <c r="B456" s="88"/>
      <c r="C456" s="90"/>
      <c r="D456" s="84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84"/>
      <c r="B457" s="88"/>
      <c r="C457" s="90"/>
      <c r="D457" s="84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84"/>
      <c r="B458" s="88"/>
      <c r="C458" s="90"/>
      <c r="D458" s="84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84"/>
      <c r="B459" s="88"/>
      <c r="C459" s="90"/>
      <c r="D459" s="84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84"/>
      <c r="B460" s="88"/>
      <c r="C460" s="90"/>
      <c r="D460" s="84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84"/>
      <c r="B461" s="88"/>
      <c r="C461" s="90"/>
      <c r="D461" s="84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84"/>
      <c r="B462" s="88"/>
      <c r="C462" s="90"/>
      <c r="D462" s="84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84"/>
      <c r="B463" s="88"/>
      <c r="C463" s="90"/>
      <c r="D463" s="84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84"/>
      <c r="B464" s="88"/>
      <c r="C464" s="90"/>
      <c r="D464" s="84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84"/>
      <c r="B465" s="88"/>
      <c r="C465" s="90"/>
      <c r="D465" s="84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84"/>
      <c r="B466" s="88"/>
      <c r="C466" s="90"/>
      <c r="D466" s="84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84"/>
      <c r="B467" s="88"/>
      <c r="C467" s="90"/>
      <c r="D467" s="84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84"/>
      <c r="B468" s="88"/>
      <c r="C468" s="90"/>
      <c r="D468" s="84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84"/>
      <c r="B469" s="88"/>
      <c r="C469" s="90"/>
      <c r="D469" s="84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84"/>
      <c r="B470" s="88"/>
      <c r="C470" s="90"/>
      <c r="D470" s="84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84"/>
      <c r="B471" s="88"/>
      <c r="C471" s="90"/>
      <c r="D471" s="84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84"/>
      <c r="B472" s="88"/>
      <c r="C472" s="90"/>
      <c r="D472" s="84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84"/>
      <c r="B473" s="88"/>
      <c r="C473" s="90"/>
      <c r="D473" s="84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84"/>
      <c r="B474" s="88"/>
      <c r="C474" s="90"/>
      <c r="D474" s="84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84"/>
      <c r="B475" s="88"/>
      <c r="C475" s="90"/>
      <c r="D475" s="84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84"/>
      <c r="B476" s="88"/>
      <c r="C476" s="90"/>
      <c r="D476" s="84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84"/>
      <c r="B477" s="88"/>
      <c r="C477" s="90"/>
      <c r="D477" s="84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84"/>
      <c r="B478" s="88"/>
      <c r="C478" s="90"/>
      <c r="D478" s="84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84"/>
      <c r="B479" s="88"/>
      <c r="C479" s="90"/>
      <c r="D479" s="84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84"/>
      <c r="B480" s="88"/>
      <c r="C480" s="90"/>
      <c r="D480" s="84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84"/>
      <c r="B481" s="88"/>
      <c r="C481" s="90"/>
      <c r="D481" s="84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84"/>
      <c r="B482" s="88"/>
      <c r="C482" s="90"/>
      <c r="D482" s="84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84"/>
      <c r="B483" s="88"/>
      <c r="C483" s="90"/>
      <c r="D483" s="84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84"/>
      <c r="B484" s="88"/>
      <c r="C484" s="90"/>
      <c r="D484" s="84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84"/>
      <c r="B485" s="88"/>
      <c r="C485" s="90"/>
      <c r="D485" s="84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84"/>
      <c r="B486" s="88"/>
      <c r="C486" s="90"/>
      <c r="D486" s="84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84"/>
      <c r="B487" s="88"/>
      <c r="C487" s="90"/>
      <c r="D487" s="84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84"/>
      <c r="B488" s="88"/>
      <c r="C488" s="90"/>
      <c r="D488" s="84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84"/>
      <c r="B489" s="88"/>
      <c r="C489" s="90"/>
      <c r="D489" s="84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84"/>
      <c r="B490" s="88"/>
      <c r="C490" s="90"/>
      <c r="D490" s="84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84"/>
      <c r="B491" s="88"/>
      <c r="C491" s="90"/>
      <c r="D491" s="84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84"/>
      <c r="B492" s="88"/>
      <c r="C492" s="90"/>
      <c r="D492" s="84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84"/>
      <c r="B493" s="88"/>
      <c r="C493" s="90"/>
      <c r="D493" s="84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84"/>
      <c r="B494" s="88"/>
      <c r="C494" s="90"/>
      <c r="D494" s="84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84"/>
      <c r="B495" s="88"/>
      <c r="C495" s="90"/>
      <c r="D495" s="84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84"/>
      <c r="B496" s="88"/>
      <c r="C496" s="90"/>
      <c r="D496" s="84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84"/>
      <c r="B497" s="88"/>
      <c r="C497" s="90"/>
      <c r="D497" s="84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84"/>
      <c r="B498" s="88"/>
      <c r="C498" s="90"/>
      <c r="D498" s="84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84"/>
      <c r="B499" s="88"/>
      <c r="C499" s="90"/>
      <c r="D499" s="84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84"/>
      <c r="B500" s="88"/>
      <c r="C500" s="90"/>
      <c r="D500" s="84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84"/>
      <c r="B501" s="88"/>
      <c r="C501" s="90"/>
      <c r="D501" s="84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84"/>
      <c r="B502" s="88"/>
      <c r="C502" s="90"/>
      <c r="D502" s="84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84"/>
      <c r="B503" s="88"/>
      <c r="C503" s="90"/>
      <c r="D503" s="84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84"/>
      <c r="B504" s="88"/>
      <c r="C504" s="90"/>
      <c r="D504" s="84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84"/>
      <c r="B505" s="88"/>
      <c r="C505" s="90"/>
      <c r="D505" s="84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84"/>
      <c r="B506" s="88"/>
      <c r="C506" s="90"/>
      <c r="D506" s="84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84"/>
      <c r="B507" s="88"/>
      <c r="C507" s="90"/>
      <c r="D507" s="84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84"/>
      <c r="B508" s="88"/>
      <c r="C508" s="90"/>
      <c r="D508" s="84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84"/>
      <c r="B509" s="88"/>
      <c r="C509" s="90"/>
      <c r="D509" s="84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84"/>
      <c r="B510" s="88"/>
      <c r="C510" s="90"/>
      <c r="D510" s="84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84"/>
      <c r="B511" s="88"/>
      <c r="C511" s="90"/>
      <c r="D511" s="84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84"/>
      <c r="B512" s="88"/>
      <c r="C512" s="90"/>
      <c r="D512" s="84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84"/>
      <c r="B513" s="88"/>
      <c r="C513" s="90"/>
      <c r="D513" s="84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84"/>
      <c r="B514" s="88"/>
      <c r="C514" s="90"/>
      <c r="D514" s="84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84"/>
      <c r="B515" s="88"/>
      <c r="C515" s="90"/>
      <c r="D515" s="84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84"/>
      <c r="B516" s="88"/>
      <c r="C516" s="90"/>
      <c r="D516" s="84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84"/>
      <c r="B517" s="88"/>
      <c r="C517" s="90"/>
      <c r="D517" s="84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84"/>
      <c r="B518" s="88"/>
      <c r="C518" s="90"/>
      <c r="D518" s="84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84"/>
      <c r="B519" s="88"/>
      <c r="C519" s="90"/>
      <c r="D519" s="84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84"/>
      <c r="B520" s="88"/>
      <c r="C520" s="90"/>
      <c r="D520" s="84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84"/>
      <c r="B521" s="88"/>
      <c r="C521" s="90"/>
      <c r="D521" s="84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84"/>
      <c r="B522" s="88"/>
      <c r="C522" s="90"/>
      <c r="D522" s="84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84"/>
      <c r="B523" s="88"/>
      <c r="C523" s="90"/>
      <c r="D523" s="84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84"/>
      <c r="B524" s="88"/>
      <c r="C524" s="90"/>
      <c r="D524" s="84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84"/>
      <c r="B525" s="88"/>
      <c r="C525" s="90"/>
      <c r="D525" s="84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84"/>
      <c r="B526" s="88"/>
      <c r="C526" s="90"/>
      <c r="D526" s="84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84"/>
      <c r="B527" s="88"/>
      <c r="C527" s="90"/>
      <c r="D527" s="84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84"/>
      <c r="B528" s="88"/>
      <c r="C528" s="90"/>
      <c r="D528" s="84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84"/>
      <c r="B529" s="88"/>
      <c r="C529" s="90"/>
      <c r="D529" s="84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84"/>
      <c r="B530" s="88"/>
      <c r="C530" s="90"/>
      <c r="D530" s="84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84"/>
      <c r="B531" s="88"/>
      <c r="C531" s="90"/>
      <c r="D531" s="84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84"/>
      <c r="B532" s="88"/>
      <c r="C532" s="90"/>
      <c r="D532" s="84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84"/>
      <c r="B533" s="88"/>
      <c r="C533" s="90"/>
      <c r="D533" s="84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84"/>
      <c r="B534" s="88"/>
      <c r="C534" s="90"/>
      <c r="D534" s="84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84"/>
      <c r="B535" s="88"/>
      <c r="C535" s="90"/>
      <c r="D535" s="84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84"/>
      <c r="B536" s="88"/>
      <c r="C536" s="90"/>
      <c r="D536" s="84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84"/>
      <c r="B537" s="88"/>
      <c r="C537" s="90"/>
      <c r="D537" s="84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84"/>
      <c r="B538" s="88"/>
      <c r="C538" s="90"/>
      <c r="D538" s="84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84"/>
      <c r="B539" s="88"/>
      <c r="C539" s="90"/>
      <c r="D539" s="84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84"/>
      <c r="B540" s="88"/>
      <c r="C540" s="90"/>
      <c r="D540" s="84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84"/>
      <c r="B541" s="88"/>
      <c r="C541" s="90"/>
      <c r="D541" s="84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84"/>
      <c r="B542" s="88"/>
      <c r="C542" s="90"/>
      <c r="D542" s="84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84"/>
      <c r="B543" s="88"/>
      <c r="C543" s="90"/>
      <c r="D543" s="84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84"/>
      <c r="B544" s="88"/>
      <c r="C544" s="90"/>
      <c r="D544" s="84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84"/>
      <c r="B545" s="88"/>
      <c r="C545" s="90"/>
      <c r="D545" s="84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84"/>
      <c r="B546" s="88"/>
      <c r="C546" s="90"/>
      <c r="D546" s="84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84"/>
      <c r="B547" s="88"/>
      <c r="C547" s="90"/>
      <c r="D547" s="84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84"/>
      <c r="B548" s="88"/>
      <c r="C548" s="90"/>
      <c r="D548" s="84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84"/>
      <c r="B549" s="88"/>
      <c r="C549" s="90"/>
      <c r="D549" s="84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84"/>
      <c r="B550" s="88"/>
      <c r="C550" s="90"/>
      <c r="D550" s="84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84"/>
      <c r="B551" s="88"/>
      <c r="C551" s="90"/>
      <c r="D551" s="84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84"/>
      <c r="B552" s="88"/>
      <c r="C552" s="90"/>
      <c r="D552" s="84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84"/>
      <c r="B553" s="88"/>
      <c r="C553" s="90"/>
      <c r="D553" s="84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84"/>
      <c r="B554" s="88"/>
      <c r="C554" s="90"/>
      <c r="D554" s="84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84"/>
      <c r="B555" s="88"/>
      <c r="C555" s="90"/>
      <c r="D555" s="84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84"/>
      <c r="B556" s="88"/>
      <c r="C556" s="90"/>
      <c r="D556" s="84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84"/>
      <c r="B557" s="88"/>
      <c r="C557" s="90"/>
      <c r="D557" s="84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84"/>
      <c r="B558" s="88"/>
      <c r="C558" s="90"/>
      <c r="D558" s="84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84"/>
      <c r="B559" s="88"/>
      <c r="C559" s="90"/>
      <c r="D559" s="84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84"/>
      <c r="B560" s="88"/>
      <c r="C560" s="90"/>
      <c r="D560" s="84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84"/>
      <c r="B561" s="88"/>
      <c r="C561" s="90"/>
      <c r="D561" s="84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84"/>
      <c r="B562" s="88"/>
      <c r="C562" s="90"/>
      <c r="D562" s="84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84"/>
      <c r="B563" s="88"/>
      <c r="C563" s="90"/>
      <c r="D563" s="84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84"/>
      <c r="B564" s="88"/>
      <c r="C564" s="90"/>
      <c r="D564" s="84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84"/>
      <c r="B565" s="88"/>
      <c r="C565" s="90"/>
      <c r="D565" s="84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84"/>
      <c r="B566" s="88"/>
      <c r="C566" s="90"/>
      <c r="D566" s="84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84"/>
      <c r="B567" s="88"/>
      <c r="C567" s="90"/>
      <c r="D567" s="84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84"/>
      <c r="B568" s="88"/>
      <c r="C568" s="90"/>
      <c r="D568" s="84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84"/>
      <c r="B569" s="88"/>
      <c r="C569" s="90"/>
      <c r="D569" s="84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84"/>
      <c r="B570" s="88"/>
      <c r="C570" s="90"/>
      <c r="D570" s="84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84"/>
      <c r="B571" s="88"/>
      <c r="C571" s="90"/>
      <c r="D571" s="84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84"/>
      <c r="B572" s="88"/>
      <c r="C572" s="90"/>
      <c r="D572" s="84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84"/>
      <c r="B573" s="88"/>
      <c r="C573" s="90"/>
      <c r="D573" s="84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84"/>
      <c r="B574" s="88"/>
      <c r="C574" s="90"/>
      <c r="D574" s="84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84"/>
      <c r="B575" s="88"/>
      <c r="C575" s="90"/>
      <c r="D575" s="84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84"/>
      <c r="B576" s="88"/>
      <c r="C576" s="90"/>
      <c r="D576" s="84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84"/>
      <c r="B577" s="88"/>
      <c r="C577" s="90"/>
      <c r="D577" s="84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84"/>
      <c r="B578" s="88"/>
      <c r="C578" s="90"/>
      <c r="D578" s="84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84"/>
      <c r="B579" s="88"/>
      <c r="C579" s="90"/>
      <c r="D579" s="84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84"/>
      <c r="B580" s="88"/>
      <c r="C580" s="90"/>
      <c r="D580" s="84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84"/>
      <c r="B581" s="88"/>
      <c r="C581" s="90"/>
      <c r="D581" s="84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84"/>
      <c r="B582" s="88"/>
      <c r="C582" s="90"/>
      <c r="D582" s="84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84"/>
      <c r="B583" s="88"/>
      <c r="C583" s="90"/>
      <c r="D583" s="84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84"/>
      <c r="B584" s="88"/>
      <c r="C584" s="90"/>
      <c r="D584" s="84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84"/>
      <c r="B585" s="88"/>
      <c r="C585" s="90"/>
      <c r="D585" s="84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84"/>
      <c r="B586" s="88"/>
      <c r="C586" s="90"/>
      <c r="D586" s="84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84"/>
      <c r="B587" s="88"/>
      <c r="C587" s="90"/>
      <c r="D587" s="84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84"/>
      <c r="B588" s="88"/>
      <c r="C588" s="90"/>
      <c r="D588" s="84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84"/>
      <c r="B589" s="88"/>
      <c r="C589" s="90"/>
      <c r="D589" s="84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84"/>
      <c r="B590" s="88"/>
      <c r="C590" s="90"/>
      <c r="D590" s="84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84"/>
      <c r="B591" s="88"/>
      <c r="C591" s="90"/>
      <c r="D591" s="84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84"/>
      <c r="B592" s="88"/>
      <c r="C592" s="90"/>
      <c r="D592" s="84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84"/>
      <c r="B593" s="88"/>
      <c r="C593" s="90"/>
      <c r="D593" s="84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84"/>
      <c r="B594" s="88"/>
      <c r="C594" s="90"/>
      <c r="D594" s="84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84"/>
      <c r="B595" s="88"/>
      <c r="C595" s="90"/>
      <c r="D595" s="84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84"/>
      <c r="B596" s="88"/>
      <c r="C596" s="90"/>
      <c r="D596" s="84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84"/>
      <c r="B597" s="88"/>
      <c r="C597" s="90"/>
      <c r="D597" s="84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84"/>
      <c r="B598" s="88"/>
      <c r="C598" s="90"/>
      <c r="D598" s="84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84"/>
      <c r="B599" s="88"/>
      <c r="C599" s="90"/>
      <c r="D599" s="84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84"/>
      <c r="B600" s="88"/>
      <c r="C600" s="90"/>
      <c r="D600" s="84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84"/>
      <c r="B601" s="88"/>
      <c r="C601" s="90"/>
      <c r="D601" s="84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84"/>
      <c r="B602" s="88"/>
      <c r="C602" s="90"/>
      <c r="D602" s="84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84"/>
      <c r="B603" s="88"/>
      <c r="C603" s="90"/>
      <c r="D603" s="84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84"/>
      <c r="B604" s="88"/>
      <c r="C604" s="90"/>
      <c r="D604" s="84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84"/>
      <c r="B605" s="88"/>
      <c r="C605" s="90"/>
      <c r="D605" s="84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84"/>
      <c r="B606" s="88"/>
      <c r="C606" s="90"/>
      <c r="D606" s="84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84"/>
      <c r="B607" s="88"/>
      <c r="C607" s="90"/>
      <c r="D607" s="84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84"/>
      <c r="B608" s="88"/>
      <c r="C608" s="90"/>
      <c r="D608" s="84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84"/>
      <c r="B609" s="88"/>
      <c r="C609" s="90"/>
      <c r="D609" s="84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84"/>
      <c r="B610" s="88"/>
      <c r="C610" s="90"/>
      <c r="D610" s="84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84"/>
      <c r="B611" s="88"/>
      <c r="C611" s="90"/>
      <c r="D611" s="84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84"/>
      <c r="B612" s="88"/>
      <c r="C612" s="90"/>
      <c r="D612" s="84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84"/>
      <c r="B613" s="88"/>
      <c r="C613" s="90"/>
      <c r="D613" s="84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84"/>
      <c r="B614" s="88"/>
      <c r="C614" s="90"/>
      <c r="D614" s="84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84"/>
      <c r="B615" s="88"/>
      <c r="C615" s="90"/>
      <c r="D615" s="84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84"/>
      <c r="B616" s="88"/>
      <c r="C616" s="90"/>
      <c r="D616" s="84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84"/>
      <c r="B617" s="88"/>
      <c r="C617" s="90"/>
      <c r="D617" s="84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84"/>
      <c r="B618" s="88"/>
      <c r="C618" s="90"/>
      <c r="D618" s="84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84"/>
      <c r="B619" s="88"/>
      <c r="C619" s="90"/>
      <c r="D619" s="84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84"/>
      <c r="B620" s="88"/>
      <c r="C620" s="90"/>
      <c r="D620" s="84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84"/>
      <c r="B621" s="88"/>
      <c r="C621" s="90"/>
      <c r="D621" s="84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84"/>
      <c r="B622" s="88"/>
      <c r="C622" s="90"/>
      <c r="D622" s="84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84"/>
      <c r="B623" s="88"/>
      <c r="C623" s="90"/>
      <c r="D623" s="84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84"/>
      <c r="B624" s="88"/>
      <c r="C624" s="90"/>
      <c r="D624" s="84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84"/>
      <c r="B625" s="88"/>
      <c r="C625" s="90"/>
      <c r="D625" s="84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84"/>
      <c r="B626" s="88"/>
      <c r="C626" s="90"/>
      <c r="D626" s="84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84"/>
      <c r="B627" s="88"/>
      <c r="C627" s="90"/>
      <c r="D627" s="84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84"/>
      <c r="B628" s="88"/>
      <c r="C628" s="90"/>
      <c r="D628" s="84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84"/>
      <c r="B629" s="88"/>
      <c r="C629" s="90"/>
      <c r="D629" s="84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84"/>
      <c r="B630" s="88"/>
      <c r="C630" s="90"/>
      <c r="D630" s="84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84"/>
      <c r="B631" s="88"/>
      <c r="C631" s="90"/>
      <c r="D631" s="84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84"/>
      <c r="B632" s="88"/>
      <c r="C632" s="90"/>
      <c r="D632" s="84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84"/>
      <c r="B633" s="88"/>
      <c r="C633" s="90"/>
      <c r="D633" s="84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84"/>
      <c r="B634" s="88"/>
      <c r="C634" s="90"/>
      <c r="D634" s="84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84"/>
      <c r="B635" s="88"/>
      <c r="C635" s="90"/>
      <c r="D635" s="84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84"/>
      <c r="B636" s="88"/>
      <c r="C636" s="90"/>
      <c r="D636" s="84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84"/>
      <c r="B637" s="88"/>
      <c r="C637" s="90"/>
      <c r="D637" s="84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84"/>
      <c r="B638" s="88"/>
      <c r="C638" s="90"/>
      <c r="D638" s="84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84"/>
      <c r="B639" s="88"/>
      <c r="C639" s="90"/>
      <c r="D639" s="84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84"/>
      <c r="B640" s="88"/>
      <c r="C640" s="90"/>
      <c r="D640" s="84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84"/>
      <c r="B641" s="88"/>
      <c r="C641" s="90"/>
      <c r="D641" s="84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84"/>
      <c r="B642" s="88"/>
      <c r="C642" s="90"/>
      <c r="D642" s="84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84"/>
      <c r="B643" s="88"/>
      <c r="C643" s="90"/>
      <c r="D643" s="84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84"/>
      <c r="B644" s="88"/>
      <c r="C644" s="90"/>
      <c r="D644" s="84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84"/>
      <c r="B645" s="88"/>
      <c r="C645" s="90"/>
      <c r="D645" s="84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84"/>
      <c r="B646" s="88"/>
      <c r="C646" s="90"/>
      <c r="D646" s="84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84"/>
      <c r="B647" s="88"/>
      <c r="C647" s="90"/>
      <c r="D647" s="84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84"/>
      <c r="B648" s="88"/>
      <c r="C648" s="90"/>
      <c r="D648" s="84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84"/>
      <c r="B649" s="88"/>
      <c r="C649" s="90"/>
      <c r="D649" s="84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84"/>
      <c r="B650" s="88"/>
      <c r="C650" s="90"/>
      <c r="D650" s="84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84"/>
      <c r="B651" s="88"/>
      <c r="C651" s="90"/>
      <c r="D651" s="84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84"/>
      <c r="B652" s="88"/>
      <c r="C652" s="90"/>
      <c r="D652" s="84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84"/>
      <c r="B653" s="88"/>
      <c r="C653" s="90"/>
      <c r="D653" s="84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84"/>
      <c r="B654" s="88"/>
      <c r="C654" s="90"/>
      <c r="D654" s="84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84"/>
      <c r="B655" s="88"/>
      <c r="C655" s="90"/>
      <c r="D655" s="84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84"/>
      <c r="B656" s="88"/>
      <c r="C656" s="90"/>
      <c r="D656" s="84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84"/>
      <c r="B657" s="88"/>
      <c r="C657" s="90"/>
      <c r="D657" s="84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84"/>
      <c r="B658" s="88"/>
      <c r="C658" s="90"/>
      <c r="D658" s="84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84"/>
      <c r="B659" s="88"/>
      <c r="C659" s="90"/>
      <c r="D659" s="84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84"/>
      <c r="B660" s="88"/>
      <c r="C660" s="90"/>
      <c r="D660" s="84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84"/>
      <c r="B661" s="88"/>
      <c r="C661" s="90"/>
      <c r="D661" s="84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84"/>
      <c r="B662" s="88"/>
      <c r="C662" s="90"/>
      <c r="D662" s="84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84"/>
      <c r="B663" s="88"/>
      <c r="C663" s="90"/>
      <c r="D663" s="84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84"/>
      <c r="B664" s="88"/>
      <c r="C664" s="90"/>
      <c r="D664" s="84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84"/>
      <c r="B665" s="88"/>
      <c r="C665" s="90"/>
      <c r="D665" s="84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84"/>
      <c r="B666" s="88"/>
      <c r="C666" s="90"/>
      <c r="D666" s="84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84"/>
      <c r="B667" s="88"/>
      <c r="C667" s="90"/>
      <c r="D667" s="84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84"/>
      <c r="B668" s="88"/>
      <c r="C668" s="90"/>
      <c r="D668" s="84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84"/>
      <c r="B669" s="88"/>
      <c r="C669" s="90"/>
      <c r="D669" s="84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84"/>
      <c r="B670" s="88"/>
      <c r="C670" s="90"/>
      <c r="D670" s="84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84"/>
      <c r="B671" s="88"/>
      <c r="C671" s="90"/>
      <c r="D671" s="84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84"/>
      <c r="B672" s="88"/>
      <c r="C672" s="90"/>
      <c r="D672" s="84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84"/>
      <c r="B673" s="88"/>
      <c r="C673" s="90"/>
      <c r="D673" s="84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84"/>
      <c r="B674" s="88"/>
      <c r="C674" s="90"/>
      <c r="D674" s="84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84"/>
      <c r="B675" s="88"/>
      <c r="C675" s="90"/>
      <c r="D675" s="84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84"/>
      <c r="B676" s="88"/>
      <c r="C676" s="90"/>
      <c r="D676" s="84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84"/>
      <c r="B677" s="88"/>
      <c r="C677" s="90"/>
      <c r="D677" s="84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84"/>
      <c r="B678" s="88"/>
      <c r="C678" s="90"/>
      <c r="D678" s="84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84"/>
      <c r="B679" s="88"/>
      <c r="C679" s="90"/>
      <c r="D679" s="84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84"/>
      <c r="B680" s="88"/>
      <c r="C680" s="90"/>
      <c r="D680" s="84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84"/>
      <c r="B681" s="88"/>
      <c r="C681" s="90"/>
      <c r="D681" s="84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84"/>
      <c r="B682" s="88"/>
      <c r="C682" s="90"/>
      <c r="D682" s="84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84"/>
      <c r="B683" s="88"/>
      <c r="C683" s="90"/>
      <c r="D683" s="84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84"/>
      <c r="B684" s="88"/>
      <c r="C684" s="90"/>
      <c r="D684" s="84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84"/>
      <c r="B685" s="88"/>
      <c r="C685" s="90"/>
      <c r="D685" s="84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84"/>
      <c r="B686" s="88"/>
      <c r="C686" s="90"/>
      <c r="D686" s="84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84"/>
      <c r="B687" s="88"/>
      <c r="C687" s="90"/>
      <c r="D687" s="84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84"/>
      <c r="B688" s="88"/>
      <c r="C688" s="90"/>
      <c r="D688" s="84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84"/>
      <c r="B689" s="88"/>
      <c r="C689" s="90"/>
      <c r="D689" s="84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84"/>
      <c r="B690" s="88"/>
      <c r="C690" s="90"/>
      <c r="D690" s="84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84"/>
      <c r="B691" s="88"/>
      <c r="C691" s="90"/>
      <c r="D691" s="84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84"/>
      <c r="B692" s="88"/>
      <c r="C692" s="90"/>
      <c r="D692" s="84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84"/>
      <c r="B693" s="88"/>
      <c r="C693" s="90"/>
      <c r="D693" s="84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84"/>
      <c r="B694" s="88"/>
      <c r="C694" s="90"/>
      <c r="D694" s="84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84"/>
      <c r="B695" s="88"/>
      <c r="C695" s="90"/>
      <c r="D695" s="84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84"/>
      <c r="B696" s="88"/>
      <c r="C696" s="90"/>
      <c r="D696" s="84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84"/>
      <c r="B697" s="88"/>
      <c r="C697" s="90"/>
      <c r="D697" s="84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84"/>
      <c r="B698" s="88"/>
      <c r="C698" s="90"/>
      <c r="D698" s="84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84"/>
      <c r="B699" s="88"/>
      <c r="C699" s="90"/>
      <c r="D699" s="84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84"/>
      <c r="B700" s="88"/>
      <c r="C700" s="90"/>
      <c r="D700" s="84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84"/>
      <c r="B701" s="88"/>
      <c r="C701" s="90"/>
      <c r="D701" s="84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84"/>
      <c r="B702" s="88"/>
      <c r="C702" s="90"/>
      <c r="D702" s="84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84"/>
      <c r="B703" s="88"/>
      <c r="C703" s="90"/>
      <c r="D703" s="84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84"/>
      <c r="B704" s="88"/>
      <c r="C704" s="90"/>
      <c r="D704" s="84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84"/>
      <c r="B705" s="88"/>
      <c r="C705" s="90"/>
      <c r="D705" s="84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84"/>
      <c r="B706" s="88"/>
      <c r="C706" s="90"/>
      <c r="D706" s="84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84"/>
      <c r="B707" s="88"/>
      <c r="C707" s="90"/>
      <c r="D707" s="84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84"/>
      <c r="B708" s="88"/>
      <c r="C708" s="90"/>
      <c r="D708" s="84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84"/>
      <c r="B709" s="88"/>
      <c r="C709" s="90"/>
      <c r="D709" s="84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84"/>
      <c r="B710" s="88"/>
      <c r="C710" s="90"/>
      <c r="D710" s="84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84"/>
      <c r="B711" s="88"/>
      <c r="C711" s="90"/>
      <c r="D711" s="84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84"/>
      <c r="B712" s="88"/>
      <c r="C712" s="90"/>
      <c r="D712" s="84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84"/>
      <c r="B713" s="88"/>
      <c r="C713" s="90"/>
      <c r="D713" s="84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84"/>
      <c r="B714" s="88"/>
      <c r="C714" s="90"/>
      <c r="D714" s="84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84"/>
      <c r="B715" s="88"/>
      <c r="C715" s="90"/>
      <c r="D715" s="84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84"/>
      <c r="B716" s="88"/>
      <c r="C716" s="90"/>
      <c r="D716" s="84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84"/>
      <c r="B717" s="88"/>
      <c r="C717" s="90"/>
      <c r="D717" s="84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84"/>
      <c r="B718" s="88"/>
      <c r="C718" s="90"/>
      <c r="D718" s="84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84"/>
      <c r="B719" s="88"/>
      <c r="C719" s="90"/>
      <c r="D719" s="84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84"/>
      <c r="B720" s="88"/>
      <c r="C720" s="90"/>
      <c r="D720" s="84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84"/>
      <c r="B721" s="88"/>
      <c r="C721" s="90"/>
      <c r="D721" s="84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84"/>
      <c r="B722" s="88"/>
      <c r="C722" s="90"/>
      <c r="D722" s="84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84"/>
      <c r="B723" s="88"/>
      <c r="C723" s="90"/>
      <c r="D723" s="84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84"/>
      <c r="B724" s="88"/>
      <c r="C724" s="90"/>
      <c r="D724" s="84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84"/>
      <c r="B725" s="88"/>
      <c r="C725" s="90"/>
      <c r="D725" s="84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84"/>
      <c r="B726" s="88"/>
      <c r="C726" s="90"/>
      <c r="D726" s="84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84"/>
      <c r="B727" s="88"/>
      <c r="C727" s="90"/>
      <c r="D727" s="84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84"/>
      <c r="B728" s="88"/>
      <c r="C728" s="90"/>
      <c r="D728" s="84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84"/>
      <c r="B729" s="88"/>
      <c r="C729" s="90"/>
      <c r="D729" s="84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84"/>
      <c r="B730" s="88"/>
      <c r="C730" s="90"/>
      <c r="D730" s="84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84"/>
      <c r="B731" s="88"/>
      <c r="C731" s="90"/>
      <c r="D731" s="84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84"/>
      <c r="B732" s="88"/>
      <c r="C732" s="90"/>
      <c r="D732" s="84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84"/>
      <c r="B733" s="88"/>
      <c r="C733" s="90"/>
      <c r="D733" s="84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84"/>
      <c r="B734" s="88"/>
      <c r="C734" s="90"/>
      <c r="D734" s="84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84"/>
      <c r="B735" s="88"/>
      <c r="C735" s="90"/>
      <c r="D735" s="84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84"/>
      <c r="B736" s="88"/>
      <c r="C736" s="90"/>
      <c r="D736" s="84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84"/>
      <c r="B737" s="88"/>
      <c r="C737" s="90"/>
      <c r="D737" s="84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84"/>
      <c r="B738" s="88"/>
      <c r="C738" s="90"/>
      <c r="D738" s="84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84"/>
      <c r="B739" s="88"/>
      <c r="C739" s="90"/>
      <c r="D739" s="84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84"/>
      <c r="B740" s="88"/>
      <c r="C740" s="90"/>
      <c r="D740" s="84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84"/>
      <c r="B741" s="88"/>
      <c r="C741" s="90"/>
      <c r="D741" s="84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84"/>
      <c r="B742" s="88"/>
      <c r="C742" s="90"/>
      <c r="D742" s="84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84"/>
      <c r="B743" s="88"/>
      <c r="C743" s="90"/>
      <c r="D743" s="84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84"/>
      <c r="B744" s="88"/>
      <c r="C744" s="90"/>
      <c r="D744" s="84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84"/>
      <c r="B745" s="88"/>
      <c r="C745" s="90"/>
      <c r="D745" s="84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84"/>
      <c r="B746" s="88"/>
      <c r="C746" s="90"/>
      <c r="D746" s="84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84"/>
      <c r="B747" s="88"/>
      <c r="C747" s="90"/>
      <c r="D747" s="84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84"/>
      <c r="B748" s="88"/>
      <c r="C748" s="90"/>
      <c r="D748" s="84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84"/>
      <c r="B749" s="88"/>
      <c r="C749" s="90"/>
      <c r="D749" s="84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84"/>
      <c r="B750" s="88"/>
      <c r="C750" s="90"/>
      <c r="D750" s="84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84"/>
      <c r="B751" s="88"/>
      <c r="C751" s="90"/>
      <c r="D751" s="84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84"/>
      <c r="B752" s="88"/>
      <c r="C752" s="90"/>
      <c r="D752" s="84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84"/>
      <c r="B753" s="88"/>
      <c r="C753" s="90"/>
      <c r="D753" s="84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84"/>
      <c r="B754" s="88"/>
      <c r="C754" s="90"/>
      <c r="D754" s="84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84"/>
      <c r="B755" s="88"/>
      <c r="C755" s="90"/>
      <c r="D755" s="84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84"/>
      <c r="B756" s="88"/>
      <c r="C756" s="90"/>
      <c r="D756" s="84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84"/>
      <c r="B757" s="88"/>
      <c r="C757" s="90"/>
      <c r="D757" s="84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84"/>
      <c r="B758" s="88"/>
      <c r="C758" s="90"/>
      <c r="D758" s="84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84"/>
      <c r="B759" s="88"/>
      <c r="C759" s="90"/>
      <c r="D759" s="84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84"/>
      <c r="B760" s="88"/>
      <c r="C760" s="90"/>
      <c r="D760" s="84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84"/>
      <c r="B761" s="88"/>
      <c r="C761" s="90"/>
      <c r="D761" s="84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84"/>
      <c r="B762" s="88"/>
      <c r="C762" s="90"/>
      <c r="D762" s="84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84"/>
      <c r="B763" s="88"/>
      <c r="C763" s="90"/>
      <c r="D763" s="84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84"/>
      <c r="B764" s="88"/>
      <c r="C764" s="90"/>
      <c r="D764" s="84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84"/>
      <c r="B765" s="88"/>
      <c r="C765" s="90"/>
      <c r="D765" s="84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84"/>
      <c r="B766" s="88"/>
      <c r="C766" s="90"/>
      <c r="D766" s="84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84"/>
      <c r="B767" s="88"/>
      <c r="C767" s="90"/>
      <c r="D767" s="84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84"/>
      <c r="B768" s="88"/>
      <c r="C768" s="90"/>
      <c r="D768" s="84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84"/>
      <c r="B769" s="88"/>
      <c r="C769" s="90"/>
      <c r="D769" s="84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84"/>
      <c r="B770" s="88"/>
      <c r="C770" s="90"/>
      <c r="D770" s="84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84"/>
      <c r="B771" s="88"/>
      <c r="C771" s="90"/>
      <c r="D771" s="84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84"/>
      <c r="B772" s="88"/>
      <c r="C772" s="90"/>
      <c r="D772" s="84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84"/>
      <c r="B773" s="88"/>
      <c r="C773" s="90"/>
      <c r="D773" s="84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84"/>
      <c r="B774" s="88"/>
      <c r="C774" s="90"/>
      <c r="D774" s="84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84"/>
      <c r="B775" s="88"/>
      <c r="C775" s="90"/>
      <c r="D775" s="84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84"/>
      <c r="B776" s="88"/>
      <c r="C776" s="90"/>
      <c r="D776" s="84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84"/>
      <c r="B777" s="88"/>
      <c r="C777" s="90"/>
      <c r="D777" s="84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84"/>
      <c r="B778" s="88"/>
      <c r="C778" s="90"/>
      <c r="D778" s="84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84"/>
      <c r="B779" s="88"/>
      <c r="C779" s="90"/>
      <c r="D779" s="84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84"/>
      <c r="B780" s="88"/>
      <c r="C780" s="90"/>
      <c r="D780" s="84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84"/>
      <c r="B781" s="88"/>
      <c r="C781" s="90"/>
      <c r="D781" s="84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84"/>
      <c r="B782" s="88"/>
      <c r="C782" s="90"/>
      <c r="D782" s="84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84"/>
      <c r="B783" s="88"/>
      <c r="C783" s="90"/>
      <c r="D783" s="84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84"/>
      <c r="B784" s="88"/>
      <c r="C784" s="90"/>
      <c r="D784" s="84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84"/>
      <c r="B785" s="88"/>
      <c r="C785" s="90"/>
      <c r="D785" s="84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84"/>
      <c r="B786" s="88"/>
      <c r="C786" s="90"/>
      <c r="D786" s="84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84"/>
      <c r="B787" s="88"/>
      <c r="C787" s="90"/>
      <c r="D787" s="84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84"/>
      <c r="B788" s="88"/>
      <c r="C788" s="90"/>
      <c r="D788" s="84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84"/>
      <c r="B789" s="88"/>
      <c r="C789" s="90"/>
      <c r="D789" s="84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84"/>
      <c r="B790" s="88"/>
      <c r="C790" s="90"/>
      <c r="D790" s="84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84"/>
      <c r="B791" s="88"/>
      <c r="C791" s="90"/>
      <c r="D791" s="84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84"/>
      <c r="B792" s="88"/>
      <c r="C792" s="90"/>
      <c r="D792" s="84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84"/>
      <c r="B793" s="88"/>
      <c r="C793" s="90"/>
      <c r="D793" s="84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84"/>
      <c r="B794" s="88"/>
      <c r="C794" s="90"/>
      <c r="D794" s="84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84"/>
      <c r="B795" s="88"/>
      <c r="C795" s="90"/>
      <c r="D795" s="84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84"/>
      <c r="B796" s="88"/>
      <c r="C796" s="90"/>
      <c r="D796" s="84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84"/>
      <c r="B797" s="88"/>
      <c r="C797" s="90"/>
      <c r="D797" s="84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84"/>
      <c r="B798" s="88"/>
      <c r="C798" s="90"/>
      <c r="D798" s="84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84"/>
      <c r="B799" s="88"/>
      <c r="C799" s="90"/>
      <c r="D799" s="84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84"/>
      <c r="B800" s="88"/>
      <c r="C800" s="90"/>
      <c r="D800" s="84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84"/>
      <c r="B801" s="88"/>
      <c r="C801" s="90"/>
      <c r="D801" s="84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84"/>
      <c r="B802" s="88"/>
      <c r="C802" s="90"/>
      <c r="D802" s="84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84"/>
      <c r="B803" s="88"/>
      <c r="C803" s="90"/>
      <c r="D803" s="84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84"/>
      <c r="B804" s="88"/>
      <c r="C804" s="90"/>
      <c r="D804" s="84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84"/>
      <c r="B805" s="88"/>
      <c r="C805" s="90"/>
      <c r="D805" s="84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84"/>
      <c r="B806" s="88"/>
      <c r="C806" s="90"/>
      <c r="D806" s="84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84"/>
      <c r="B807" s="88"/>
      <c r="C807" s="90"/>
      <c r="D807" s="84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84"/>
      <c r="B808" s="88"/>
      <c r="C808" s="90"/>
      <c r="D808" s="84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84"/>
      <c r="B809" s="88"/>
      <c r="C809" s="90"/>
      <c r="D809" s="84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84"/>
      <c r="B810" s="88"/>
      <c r="C810" s="90"/>
      <c r="D810" s="84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84"/>
      <c r="B811" s="88"/>
      <c r="C811" s="90"/>
      <c r="D811" s="84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84"/>
      <c r="B812" s="88"/>
      <c r="C812" s="90"/>
      <c r="D812" s="84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84"/>
      <c r="B813" s="88"/>
      <c r="C813" s="90"/>
      <c r="D813" s="84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84"/>
      <c r="B814" s="88"/>
      <c r="C814" s="90"/>
      <c r="D814" s="84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84"/>
      <c r="B815" s="88"/>
      <c r="C815" s="90"/>
      <c r="D815" s="84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84"/>
      <c r="B816" s="88"/>
      <c r="C816" s="90"/>
      <c r="D816" s="84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84"/>
      <c r="B817" s="88"/>
      <c r="C817" s="90"/>
      <c r="D817" s="84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84"/>
      <c r="B818" s="88"/>
      <c r="C818" s="90"/>
      <c r="D818" s="84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84"/>
      <c r="B819" s="88"/>
      <c r="C819" s="90"/>
      <c r="D819" s="84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84"/>
      <c r="B820" s="88"/>
      <c r="C820" s="90"/>
      <c r="D820" s="84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84"/>
      <c r="B821" s="88"/>
      <c r="C821" s="90"/>
      <c r="D821" s="84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84"/>
      <c r="B822" s="88"/>
      <c r="C822" s="90"/>
      <c r="D822" s="84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84"/>
      <c r="B823" s="88"/>
      <c r="C823" s="90"/>
      <c r="D823" s="84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84"/>
      <c r="B824" s="88"/>
      <c r="C824" s="90"/>
      <c r="D824" s="84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84"/>
      <c r="B825" s="88"/>
      <c r="C825" s="90"/>
      <c r="D825" s="84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84"/>
      <c r="B826" s="88"/>
      <c r="C826" s="90"/>
      <c r="D826" s="84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84"/>
      <c r="B827" s="88"/>
      <c r="C827" s="90"/>
      <c r="D827" s="84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84"/>
      <c r="B828" s="88"/>
      <c r="C828" s="90"/>
      <c r="D828" s="84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84"/>
      <c r="B829" s="88"/>
      <c r="C829" s="90"/>
      <c r="D829" s="84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84"/>
      <c r="B830" s="88"/>
      <c r="C830" s="90"/>
      <c r="D830" s="84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84"/>
      <c r="B831" s="88"/>
      <c r="C831" s="90"/>
      <c r="D831" s="84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84"/>
      <c r="B832" s="88"/>
      <c r="C832" s="90"/>
      <c r="D832" s="84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84"/>
      <c r="B833" s="88"/>
      <c r="C833" s="90"/>
      <c r="D833" s="84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84"/>
      <c r="B834" s="88"/>
      <c r="C834" s="90"/>
      <c r="D834" s="84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84"/>
      <c r="B835" s="88"/>
      <c r="C835" s="90"/>
      <c r="D835" s="84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84"/>
      <c r="B836" s="88"/>
      <c r="C836" s="90"/>
      <c r="D836" s="84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84"/>
      <c r="B837" s="88"/>
      <c r="C837" s="90"/>
      <c r="D837" s="84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84"/>
      <c r="B838" s="88"/>
      <c r="C838" s="90"/>
      <c r="D838" s="84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84"/>
      <c r="B839" s="88"/>
      <c r="C839" s="90"/>
      <c r="D839" s="84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84"/>
      <c r="B840" s="88"/>
      <c r="C840" s="90"/>
      <c r="D840" s="84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84"/>
      <c r="B841" s="88"/>
      <c r="C841" s="90"/>
      <c r="D841" s="84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84"/>
      <c r="B842" s="88"/>
      <c r="C842" s="90"/>
      <c r="D842" s="84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84"/>
      <c r="B843" s="88"/>
      <c r="C843" s="90"/>
      <c r="D843" s="84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84"/>
      <c r="B844" s="88"/>
      <c r="C844" s="90"/>
      <c r="D844" s="84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84"/>
      <c r="B845" s="88"/>
      <c r="C845" s="90"/>
      <c r="D845" s="84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84"/>
      <c r="B846" s="88"/>
      <c r="C846" s="90"/>
      <c r="D846" s="84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84"/>
      <c r="B847" s="88"/>
      <c r="C847" s="90"/>
      <c r="D847" s="84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84"/>
      <c r="B848" s="88"/>
      <c r="C848" s="90"/>
      <c r="D848" s="84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84"/>
      <c r="B849" s="88"/>
      <c r="C849" s="90"/>
      <c r="D849" s="84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84"/>
      <c r="B850" s="88"/>
      <c r="C850" s="90"/>
      <c r="D850" s="84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84"/>
      <c r="B851" s="88"/>
      <c r="C851" s="90"/>
      <c r="D851" s="84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84"/>
      <c r="B852" s="88"/>
      <c r="C852" s="90"/>
      <c r="D852" s="84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84"/>
      <c r="B853" s="88"/>
      <c r="C853" s="90"/>
      <c r="D853" s="84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84"/>
      <c r="B854" s="88"/>
      <c r="C854" s="90"/>
      <c r="D854" s="84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84"/>
      <c r="B855" s="88"/>
      <c r="C855" s="90"/>
      <c r="D855" s="84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84"/>
      <c r="B856" s="88"/>
      <c r="C856" s="90"/>
      <c r="D856" s="84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84"/>
      <c r="B857" s="88"/>
      <c r="C857" s="90"/>
      <c r="D857" s="84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84"/>
      <c r="B858" s="88"/>
      <c r="C858" s="90"/>
      <c r="D858" s="84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84"/>
      <c r="B859" s="88"/>
      <c r="C859" s="90"/>
      <c r="D859" s="84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84"/>
      <c r="B860" s="88"/>
      <c r="C860" s="90"/>
      <c r="D860" s="84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84"/>
      <c r="B861" s="88"/>
      <c r="C861" s="90"/>
      <c r="D861" s="84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84"/>
      <c r="B862" s="88"/>
      <c r="C862" s="90"/>
      <c r="D862" s="84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84"/>
      <c r="B863" s="88"/>
      <c r="C863" s="90"/>
      <c r="D863" s="84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84"/>
      <c r="B864" s="88"/>
      <c r="C864" s="90"/>
      <c r="D864" s="84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84"/>
      <c r="B865" s="88"/>
      <c r="C865" s="90"/>
      <c r="D865" s="84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84"/>
      <c r="B866" s="88"/>
      <c r="C866" s="90"/>
      <c r="D866" s="84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84"/>
      <c r="B867" s="88"/>
      <c r="C867" s="90"/>
      <c r="D867" s="84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84"/>
      <c r="B868" s="88"/>
      <c r="C868" s="90"/>
      <c r="D868" s="84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84"/>
      <c r="B869" s="88"/>
      <c r="C869" s="90"/>
      <c r="D869" s="84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84"/>
      <c r="B870" s="88"/>
      <c r="C870" s="90"/>
      <c r="D870" s="84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84"/>
      <c r="B871" s="88"/>
      <c r="C871" s="90"/>
      <c r="D871" s="84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84"/>
      <c r="B872" s="88"/>
      <c r="C872" s="90"/>
      <c r="D872" s="84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84"/>
      <c r="B873" s="88"/>
      <c r="C873" s="90"/>
      <c r="D873" s="84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84"/>
      <c r="B874" s="88"/>
      <c r="C874" s="90"/>
      <c r="D874" s="84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84"/>
      <c r="B875" s="88"/>
      <c r="C875" s="90"/>
      <c r="D875" s="84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84"/>
      <c r="B876" s="88"/>
      <c r="C876" s="90"/>
      <c r="D876" s="84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84"/>
      <c r="B877" s="88"/>
      <c r="C877" s="90"/>
      <c r="D877" s="84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84"/>
      <c r="B878" s="88"/>
      <c r="C878" s="90"/>
      <c r="D878" s="84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84"/>
      <c r="B879" s="88"/>
      <c r="C879" s="90"/>
      <c r="D879" s="84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84"/>
      <c r="B880" s="88"/>
      <c r="C880" s="90"/>
      <c r="D880" s="84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84"/>
      <c r="B881" s="88"/>
      <c r="C881" s="90"/>
      <c r="D881" s="84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84"/>
      <c r="B882" s="88"/>
      <c r="C882" s="90"/>
      <c r="D882" s="84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84"/>
      <c r="B883" s="88"/>
      <c r="C883" s="90"/>
      <c r="D883" s="84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84"/>
      <c r="B884" s="88"/>
      <c r="C884" s="90"/>
      <c r="D884" s="84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84"/>
      <c r="B885" s="88"/>
      <c r="C885" s="90"/>
      <c r="D885" s="84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84"/>
      <c r="B886" s="88"/>
      <c r="C886" s="90"/>
      <c r="D886" s="84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84"/>
      <c r="B887" s="88"/>
      <c r="C887" s="90"/>
      <c r="D887" s="84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84"/>
      <c r="B888" s="88"/>
      <c r="C888" s="90"/>
      <c r="D888" s="84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84"/>
      <c r="B889" s="88"/>
      <c r="C889" s="90"/>
      <c r="D889" s="84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84"/>
      <c r="B890" s="88"/>
      <c r="C890" s="90"/>
      <c r="D890" s="84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84"/>
      <c r="B891" s="88"/>
      <c r="C891" s="90"/>
      <c r="D891" s="84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84"/>
      <c r="B892" s="88"/>
      <c r="C892" s="90"/>
      <c r="D892" s="84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84"/>
      <c r="B893" s="88"/>
      <c r="C893" s="90"/>
      <c r="D893" s="84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84"/>
      <c r="B894" s="88"/>
      <c r="C894" s="90"/>
      <c r="D894" s="84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84"/>
      <c r="B895" s="88"/>
      <c r="C895" s="90"/>
      <c r="D895" s="84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84"/>
      <c r="B896" s="88"/>
      <c r="C896" s="90"/>
      <c r="D896" s="84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84"/>
      <c r="B897" s="88"/>
      <c r="C897" s="90"/>
      <c r="D897" s="84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84"/>
      <c r="B898" s="88"/>
      <c r="C898" s="90"/>
      <c r="D898" s="84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84"/>
      <c r="B899" s="88"/>
      <c r="C899" s="90"/>
      <c r="D899" s="84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84"/>
      <c r="B900" s="88"/>
      <c r="C900" s="90"/>
      <c r="D900" s="84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84"/>
      <c r="B901" s="88"/>
      <c r="C901" s="90"/>
      <c r="D901" s="84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84"/>
      <c r="B902" s="88"/>
      <c r="C902" s="90"/>
      <c r="D902" s="84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84"/>
      <c r="B903" s="88"/>
      <c r="C903" s="90"/>
      <c r="D903" s="84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84"/>
      <c r="B904" s="88"/>
      <c r="C904" s="90"/>
      <c r="D904" s="84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84"/>
      <c r="B905" s="88"/>
      <c r="C905" s="90"/>
      <c r="D905" s="84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84"/>
      <c r="B906" s="88"/>
      <c r="C906" s="90"/>
      <c r="D906" s="84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84"/>
      <c r="B907" s="88"/>
      <c r="C907" s="90"/>
      <c r="D907" s="84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84"/>
      <c r="B908" s="88"/>
      <c r="C908" s="90"/>
      <c r="D908" s="84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84"/>
      <c r="B909" s="88"/>
      <c r="C909" s="90"/>
      <c r="D909" s="84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84"/>
      <c r="B910" s="88"/>
      <c r="C910" s="90"/>
      <c r="D910" s="84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84"/>
      <c r="B911" s="88"/>
      <c r="C911" s="90"/>
      <c r="D911" s="84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84"/>
      <c r="B912" s="88"/>
      <c r="C912" s="90"/>
      <c r="D912" s="84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84"/>
      <c r="B913" s="88"/>
      <c r="C913" s="90"/>
      <c r="D913" s="84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84"/>
      <c r="B914" s="88"/>
      <c r="C914" s="90"/>
      <c r="D914" s="84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84"/>
      <c r="B915" s="88"/>
      <c r="C915" s="90"/>
      <c r="D915" s="84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84"/>
      <c r="B916" s="88"/>
      <c r="C916" s="90"/>
      <c r="D916" s="84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84"/>
      <c r="B917" s="88"/>
      <c r="C917" s="90"/>
      <c r="D917" s="84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84"/>
      <c r="B918" s="88"/>
      <c r="C918" s="90"/>
      <c r="D918" s="84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84"/>
      <c r="B919" s="88"/>
      <c r="C919" s="90"/>
      <c r="D919" s="84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84"/>
      <c r="B920" s="88"/>
      <c r="C920" s="90"/>
      <c r="D920" s="84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84"/>
      <c r="B921" s="88"/>
      <c r="C921" s="90"/>
      <c r="D921" s="84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84"/>
      <c r="B922" s="88"/>
      <c r="C922" s="90"/>
      <c r="D922" s="84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84"/>
      <c r="B923" s="88"/>
      <c r="C923" s="90"/>
      <c r="D923" s="84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84"/>
      <c r="B924" s="88"/>
      <c r="C924" s="90"/>
      <c r="D924" s="84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84"/>
      <c r="B925" s="88"/>
      <c r="C925" s="90"/>
      <c r="D925" s="84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84"/>
      <c r="B926" s="88"/>
      <c r="C926" s="90"/>
      <c r="D926" s="84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84"/>
      <c r="B927" s="88"/>
      <c r="C927" s="90"/>
      <c r="D927" s="84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84"/>
      <c r="B928" s="88"/>
      <c r="C928" s="90"/>
      <c r="D928" s="84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84"/>
      <c r="B929" s="88"/>
      <c r="C929" s="90"/>
      <c r="D929" s="84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84"/>
      <c r="B930" s="88"/>
      <c r="C930" s="90"/>
      <c r="D930" s="84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84"/>
      <c r="B931" s="88"/>
      <c r="C931" s="90"/>
      <c r="D931" s="84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84"/>
      <c r="B932" s="88"/>
      <c r="C932" s="90"/>
      <c r="D932" s="84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84"/>
      <c r="B933" s="88"/>
      <c r="C933" s="90"/>
      <c r="D933" s="84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84"/>
      <c r="B934" s="88"/>
      <c r="C934" s="90"/>
      <c r="D934" s="84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84"/>
      <c r="B935" s="88"/>
      <c r="C935" s="90"/>
      <c r="D935" s="84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84"/>
      <c r="B936" s="88"/>
      <c r="C936" s="90"/>
      <c r="D936" s="84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84"/>
      <c r="B937" s="88"/>
      <c r="C937" s="90"/>
      <c r="D937" s="84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84"/>
      <c r="B938" s="88"/>
      <c r="C938" s="90"/>
      <c r="D938" s="84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84"/>
      <c r="B939" s="88"/>
      <c r="C939" s="90"/>
      <c r="D939" s="84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84"/>
      <c r="B940" s="88"/>
      <c r="C940" s="90"/>
      <c r="D940" s="84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84"/>
      <c r="B941" s="88"/>
      <c r="C941" s="90"/>
      <c r="D941" s="84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84"/>
      <c r="B942" s="88"/>
      <c r="C942" s="90"/>
      <c r="D942" s="84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84"/>
      <c r="B943" s="88"/>
      <c r="C943" s="90"/>
      <c r="D943" s="84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84"/>
      <c r="B944" s="88"/>
      <c r="C944" s="90"/>
      <c r="D944" s="84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84"/>
      <c r="B945" s="88"/>
      <c r="C945" s="90"/>
      <c r="D945" s="84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84"/>
      <c r="B946" s="88"/>
      <c r="C946" s="90"/>
      <c r="D946" s="84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84"/>
      <c r="B947" s="88"/>
      <c r="C947" s="90"/>
      <c r="D947" s="84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84"/>
      <c r="B948" s="88"/>
      <c r="C948" s="90"/>
      <c r="D948" s="84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84"/>
      <c r="B949" s="88"/>
      <c r="C949" s="90"/>
      <c r="D949" s="84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84"/>
      <c r="B950" s="88"/>
      <c r="C950" s="90"/>
      <c r="D950" s="84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84"/>
      <c r="B951" s="88"/>
      <c r="C951" s="90"/>
      <c r="D951" s="84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84"/>
      <c r="B952" s="88"/>
      <c r="C952" s="90"/>
      <c r="D952" s="84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84"/>
      <c r="B953" s="88"/>
      <c r="C953" s="90"/>
      <c r="D953" s="84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84"/>
      <c r="B954" s="88"/>
      <c r="C954" s="90"/>
      <c r="D954" s="84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84"/>
      <c r="B955" s="88"/>
      <c r="C955" s="90"/>
      <c r="D955" s="84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84"/>
      <c r="B956" s="88"/>
      <c r="C956" s="90"/>
      <c r="D956" s="84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84"/>
      <c r="B957" s="88"/>
      <c r="C957" s="90"/>
      <c r="D957" s="84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84"/>
      <c r="B958" s="88"/>
      <c r="C958" s="90"/>
      <c r="D958" s="84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84"/>
      <c r="B959" s="88"/>
      <c r="C959" s="90"/>
      <c r="D959" s="84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84"/>
      <c r="B960" s="88"/>
      <c r="C960" s="90"/>
      <c r="D960" s="84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84"/>
      <c r="B961" s="88"/>
      <c r="C961" s="90"/>
      <c r="D961" s="84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84"/>
      <c r="B962" s="88"/>
      <c r="C962" s="90"/>
      <c r="D962" s="84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84"/>
      <c r="B963" s="88"/>
      <c r="C963" s="90"/>
      <c r="D963" s="84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84"/>
      <c r="B964" s="88"/>
      <c r="C964" s="90"/>
      <c r="D964" s="84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84"/>
      <c r="B965" s="88"/>
      <c r="C965" s="90"/>
      <c r="D965" s="84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84"/>
      <c r="B966" s="88"/>
      <c r="C966" s="90"/>
      <c r="D966" s="84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84"/>
      <c r="B967" s="88"/>
      <c r="C967" s="90"/>
      <c r="D967" s="84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84"/>
      <c r="B968" s="88"/>
      <c r="C968" s="90"/>
      <c r="D968" s="84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84"/>
      <c r="B969" s="88"/>
      <c r="C969" s="90"/>
      <c r="D969" s="84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84"/>
      <c r="B970" s="88"/>
      <c r="C970" s="90"/>
      <c r="D970" s="84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84"/>
      <c r="B971" s="88"/>
      <c r="C971" s="90"/>
      <c r="D971" s="84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84"/>
      <c r="B972" s="88"/>
      <c r="C972" s="90"/>
      <c r="D972" s="84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84"/>
      <c r="B973" s="88"/>
      <c r="C973" s="90"/>
      <c r="D973" s="84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84"/>
      <c r="B974" s="88"/>
      <c r="C974" s="90"/>
      <c r="D974" s="84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84"/>
      <c r="B975" s="88"/>
      <c r="C975" s="90"/>
      <c r="D975" s="84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84"/>
      <c r="B976" s="88"/>
      <c r="C976" s="90"/>
      <c r="D976" s="84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84"/>
      <c r="B977" s="88"/>
      <c r="C977" s="90"/>
      <c r="D977" s="84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84"/>
      <c r="B978" s="88"/>
      <c r="C978" s="90"/>
      <c r="D978" s="84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84"/>
      <c r="B979" s="88"/>
      <c r="C979" s="90"/>
      <c r="D979" s="84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84"/>
      <c r="B980" s="88"/>
      <c r="C980" s="90"/>
      <c r="D980" s="84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84"/>
      <c r="B981" s="88"/>
      <c r="C981" s="90"/>
      <c r="D981" s="84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>
      <c r="A982" s="84"/>
      <c r="B982" s="88"/>
      <c r="C982" s="90"/>
      <c r="D982" s="84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>
      <c r="A983" s="84"/>
      <c r="B983" s="88"/>
      <c r="C983" s="90"/>
      <c r="D983" s="84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>
      <c r="A984" s="84"/>
      <c r="B984" s="88"/>
      <c r="C984" s="90"/>
      <c r="D984" s="84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>
      <c r="A985" s="84"/>
      <c r="B985" s="88"/>
      <c r="C985" s="90"/>
      <c r="D985" s="84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>
      <c r="A986" s="84"/>
      <c r="B986" s="88"/>
      <c r="C986" s="90"/>
      <c r="D986" s="84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>
      <c r="A987" s="84"/>
      <c r="B987" s="88"/>
      <c r="C987" s="90"/>
      <c r="D987" s="84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>
      <c r="A988" s="84"/>
      <c r="B988" s="88"/>
      <c r="C988" s="90"/>
      <c r="D988" s="84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>
      <c r="A989" s="84"/>
      <c r="B989" s="88"/>
      <c r="C989" s="90"/>
      <c r="D989" s="84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>
      <c r="A990" s="84"/>
      <c r="B990" s="88"/>
      <c r="C990" s="90"/>
      <c r="D990" s="84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>
      <c r="A991" s="84"/>
      <c r="B991" s="88"/>
      <c r="C991" s="90"/>
      <c r="D991" s="84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>
      <c r="A992" s="84"/>
      <c r="B992" s="88"/>
      <c r="C992" s="90"/>
      <c r="D992" s="84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>
      <c r="A993" s="84"/>
      <c r="B993" s="88"/>
      <c r="C993" s="90"/>
      <c r="D993" s="84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>
      <c r="A994" s="84"/>
      <c r="B994" s="88"/>
      <c r="C994" s="90"/>
      <c r="D994" s="84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>
      <c r="A995" s="84"/>
      <c r="B995" s="88"/>
      <c r="C995" s="90"/>
      <c r="D995" s="84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>
      <c r="A996" s="84"/>
      <c r="B996" s="88"/>
      <c r="C996" s="90"/>
      <c r="D996" s="84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>
      <c r="A997" s="84"/>
      <c r="B997" s="88"/>
      <c r="C997" s="90"/>
      <c r="D997" s="84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>
      <c r="A998" s="84"/>
      <c r="B998" s="88"/>
      <c r="C998" s="90"/>
      <c r="D998" s="84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>
      <c r="A999" s="84"/>
      <c r="B999" s="88"/>
      <c r="C999" s="90"/>
      <c r="D999" s="84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>
      <c r="A1000" s="84"/>
      <c r="B1000" s="88"/>
      <c r="C1000" s="90"/>
      <c r="D1000" s="84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>
      <c r="A1001" s="84"/>
      <c r="B1001" s="88"/>
      <c r="C1001" s="90"/>
      <c r="D1001" s="84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>
      <c r="A1002" s="84"/>
      <c r="B1002" s="88"/>
      <c r="C1002" s="90"/>
      <c r="D1002" s="84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>
      <c r="A1003" s="84"/>
      <c r="B1003" s="88"/>
      <c r="C1003" s="90"/>
      <c r="D1003" s="84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>
      <c r="A1004" s="84"/>
      <c r="B1004" s="88"/>
      <c r="C1004" s="90"/>
      <c r="D1004" s="84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  <row r="1005">
      <c r="A1005" s="84"/>
      <c r="B1005" s="88"/>
      <c r="C1005" s="90"/>
      <c r="D1005" s="84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</row>
    <row r="1006">
      <c r="A1006" s="84"/>
      <c r="B1006" s="88"/>
      <c r="C1006" s="90"/>
      <c r="D1006" s="84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</row>
    <row r="1007">
      <c r="A1007" s="84"/>
      <c r="B1007" s="88"/>
      <c r="C1007" s="90"/>
      <c r="D1007" s="84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</row>
    <row r="1008">
      <c r="A1008" s="84"/>
      <c r="B1008" s="88"/>
      <c r="C1008" s="90"/>
      <c r="D1008" s="84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</row>
    <row r="1009">
      <c r="A1009" s="84"/>
      <c r="B1009" s="88"/>
      <c r="C1009" s="90"/>
      <c r="D1009" s="84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</row>
    <row r="1010">
      <c r="A1010" s="84"/>
      <c r="B1010" s="88"/>
      <c r="C1010" s="90"/>
      <c r="D1010" s="84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</row>
    <row r="1011">
      <c r="A1011" s="84"/>
      <c r="B1011" s="88"/>
      <c r="C1011" s="90"/>
      <c r="D1011" s="84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</row>
    <row r="1012">
      <c r="A1012" s="84"/>
      <c r="B1012" s="88"/>
      <c r="C1012" s="90"/>
      <c r="D1012" s="84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</row>
  </sheetData>
  <mergeCells count="36">
    <mergeCell ref="G16:H16"/>
    <mergeCell ref="G18:H18"/>
    <mergeCell ref="F24:J24"/>
    <mergeCell ref="A2:A10"/>
    <mergeCell ref="F4:F5"/>
    <mergeCell ref="A11:A14"/>
    <mergeCell ref="G13:H13"/>
    <mergeCell ref="G14:H14"/>
    <mergeCell ref="G15:H15"/>
    <mergeCell ref="G19:H19"/>
    <mergeCell ref="A15:A19"/>
    <mergeCell ref="A20:A27"/>
    <mergeCell ref="A28:A33"/>
    <mergeCell ref="A34:A38"/>
    <mergeCell ref="A39:A43"/>
    <mergeCell ref="A44:A46"/>
    <mergeCell ref="A47:A50"/>
    <mergeCell ref="A51:A55"/>
    <mergeCell ref="A56:A58"/>
    <mergeCell ref="A59:A62"/>
    <mergeCell ref="A63:A65"/>
    <mergeCell ref="A66:A71"/>
    <mergeCell ref="A72:A74"/>
    <mergeCell ref="A75:A79"/>
    <mergeCell ref="A109:A111"/>
    <mergeCell ref="A112:A114"/>
    <mergeCell ref="A115:A121"/>
    <mergeCell ref="A122:A125"/>
    <mergeCell ref="A126:A131"/>
    <mergeCell ref="A80:A82"/>
    <mergeCell ref="A83:A87"/>
    <mergeCell ref="A88:A90"/>
    <mergeCell ref="A91:A95"/>
    <mergeCell ref="A96:A98"/>
    <mergeCell ref="A99:A103"/>
    <mergeCell ref="A104:A108"/>
  </mergeCells>
  <conditionalFormatting sqref="F27:J109">
    <cfRule type="expression" dxfId="0" priority="1">
      <formula>$I27=TRUE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13"/>
    <col customWidth="1" min="4" max="4" width="21.88"/>
    <col customWidth="1" min="5" max="5" width="15.63"/>
    <col customWidth="1" min="6" max="6" width="24.38"/>
    <col customWidth="1" min="7" max="7" width="41.38"/>
    <col customWidth="1" min="8" max="8" width="14.38"/>
  </cols>
  <sheetData>
    <row r="1">
      <c r="A1" s="91" t="s">
        <v>24</v>
      </c>
      <c r="B1" s="49" t="s">
        <v>25</v>
      </c>
      <c r="C1" s="49" t="s">
        <v>26</v>
      </c>
      <c r="D1" s="49" t="s">
        <v>27</v>
      </c>
      <c r="E1" s="50"/>
      <c r="F1" s="51" t="s">
        <v>24</v>
      </c>
      <c r="G1" s="51" t="s">
        <v>28</v>
      </c>
      <c r="H1" s="52" t="s">
        <v>26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3">
        <v>46202.0</v>
      </c>
      <c r="B2" s="54" t="s">
        <v>194</v>
      </c>
      <c r="C2" s="59">
        <f>271-75-75</f>
        <v>121</v>
      </c>
      <c r="D2" s="55" t="s">
        <v>40</v>
      </c>
      <c r="E2" s="54"/>
      <c r="F2" s="56">
        <v>46202.0</v>
      </c>
      <c r="G2" s="57" t="s">
        <v>195</v>
      </c>
      <c r="H2" s="58">
        <f>24357+42</f>
        <v>24399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B3" s="54" t="s">
        <v>196</v>
      </c>
      <c r="C3" s="54">
        <v>2000.0</v>
      </c>
      <c r="D3" s="55" t="s">
        <v>108</v>
      </c>
      <c r="E3" s="54"/>
      <c r="F3" s="60">
        <v>46205.0</v>
      </c>
      <c r="G3" s="54" t="s">
        <v>157</v>
      </c>
      <c r="H3" s="61">
        <v>5545.0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B4" s="54" t="s">
        <v>197</v>
      </c>
      <c r="C4" s="54">
        <v>55.0</v>
      </c>
      <c r="D4" s="55" t="s">
        <v>40</v>
      </c>
      <c r="E4" s="50"/>
      <c r="F4" s="60">
        <v>46218.0</v>
      </c>
      <c r="G4" s="54" t="s">
        <v>198</v>
      </c>
      <c r="H4" s="61">
        <v>2000.0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B5" s="54" t="s">
        <v>56</v>
      </c>
      <c r="C5" s="54">
        <v>16.0</v>
      </c>
      <c r="D5" s="55" t="s">
        <v>40</v>
      </c>
      <c r="E5" s="54"/>
      <c r="F5" s="92"/>
      <c r="G5" s="54" t="s">
        <v>199</v>
      </c>
      <c r="H5" s="61">
        <v>2000.0</v>
      </c>
      <c r="I5" s="59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B6" s="54" t="s">
        <v>200</v>
      </c>
      <c r="C6" s="54">
        <v>48.0</v>
      </c>
      <c r="D6" s="55" t="s">
        <v>40</v>
      </c>
      <c r="E6" s="50"/>
      <c r="F6" s="60">
        <v>46224.0</v>
      </c>
      <c r="G6" s="54" t="s">
        <v>201</v>
      </c>
      <c r="H6" s="61">
        <v>500.0</v>
      </c>
      <c r="I6" s="59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B7" s="54" t="s">
        <v>41</v>
      </c>
      <c r="C7" s="54">
        <v>5000.0</v>
      </c>
      <c r="D7" s="55" t="s">
        <v>42</v>
      </c>
      <c r="E7" s="50"/>
      <c r="F7" s="60">
        <v>46227.0</v>
      </c>
      <c r="G7" s="54" t="s">
        <v>202</v>
      </c>
      <c r="H7" s="61">
        <v>500.0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B8" s="54" t="s">
        <v>145</v>
      </c>
      <c r="C8" s="54">
        <v>37.0</v>
      </c>
      <c r="D8" s="55" t="s">
        <v>40</v>
      </c>
      <c r="E8" s="50"/>
      <c r="F8" s="60">
        <v>46228.0</v>
      </c>
      <c r="G8" s="54" t="s">
        <v>202</v>
      </c>
      <c r="H8" s="61">
        <v>300.0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B9" s="54" t="s">
        <v>203</v>
      </c>
      <c r="C9" s="50">
        <f>111-25-24</f>
        <v>62</v>
      </c>
      <c r="D9" s="55" t="s">
        <v>40</v>
      </c>
      <c r="E9" s="54"/>
      <c r="F9" s="92"/>
      <c r="G9" s="54" t="s">
        <v>204</v>
      </c>
      <c r="H9" s="61">
        <v>300.0</v>
      </c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53">
        <v>46203.0</v>
      </c>
      <c r="B10" s="54" t="s">
        <v>205</v>
      </c>
      <c r="C10" s="54">
        <v>183.0</v>
      </c>
      <c r="D10" s="55" t="s">
        <v>40</v>
      </c>
      <c r="E10" s="50"/>
      <c r="F10" s="60">
        <v>46229.0</v>
      </c>
      <c r="G10" s="54" t="s">
        <v>204</v>
      </c>
      <c r="H10" s="61">
        <v>100.0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B11" s="54" t="s">
        <v>60</v>
      </c>
      <c r="C11" s="54">
        <v>160.0</v>
      </c>
      <c r="D11" s="55" t="s">
        <v>66</v>
      </c>
      <c r="E11" s="54"/>
      <c r="F11" s="60">
        <v>46230.0</v>
      </c>
      <c r="G11" s="54" t="s">
        <v>206</v>
      </c>
      <c r="H11" s="61">
        <v>1000.0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B12" s="54" t="s">
        <v>207</v>
      </c>
      <c r="C12" s="54">
        <v>111.0</v>
      </c>
      <c r="D12" s="55" t="s">
        <v>40</v>
      </c>
      <c r="E12" s="50"/>
      <c r="F12" s="62"/>
      <c r="G12" s="63"/>
      <c r="H12" s="64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53">
        <v>46204.0</v>
      </c>
      <c r="B13" s="54" t="s">
        <v>10</v>
      </c>
      <c r="C13" s="54">
        <v>1700.0</v>
      </c>
      <c r="D13" s="55" t="s">
        <v>10</v>
      </c>
      <c r="E13" s="50"/>
      <c r="F13" s="65" t="s">
        <v>49</v>
      </c>
      <c r="G13" s="66">
        <f>SUM(H2:H12)</f>
        <v>36644</v>
      </c>
      <c r="H13" s="27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B14" s="54" t="s">
        <v>56</v>
      </c>
      <c r="C14" s="54">
        <v>16.0</v>
      </c>
      <c r="D14" s="55" t="s">
        <v>40</v>
      </c>
      <c r="E14" s="50"/>
      <c r="F14" s="67" t="s">
        <v>51</v>
      </c>
      <c r="G14" s="68">
        <f>SUMPRODUCT(((D2:D231&lt;&gt;"Credit")*(D2:D231&lt;&gt;"Quỹ Shinhan"))*C2:C231) + G15</f>
        <v>36533</v>
      </c>
      <c r="H14" s="3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B15" s="54" t="s">
        <v>203</v>
      </c>
      <c r="C15" s="59">
        <f>147-25-32-32</f>
        <v>58</v>
      </c>
      <c r="D15" s="55" t="s">
        <v>40</v>
      </c>
      <c r="E15" s="54"/>
      <c r="F15" s="67" t="s">
        <v>53</v>
      </c>
      <c r="G15" s="69">
        <f>2+223+16+6+36+2+77+284-89+37+4</f>
        <v>598</v>
      </c>
      <c r="H15" s="3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53">
        <v>46205.0</v>
      </c>
      <c r="B16" s="54" t="s">
        <v>200</v>
      </c>
      <c r="C16" s="54">
        <v>16.0</v>
      </c>
      <c r="D16" s="55" t="s">
        <v>40</v>
      </c>
      <c r="E16" s="50"/>
      <c r="F16" s="67" t="s">
        <v>55</v>
      </c>
      <c r="G16" s="69">
        <v>0.0</v>
      </c>
      <c r="H16" s="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B17" s="54" t="s">
        <v>35</v>
      </c>
      <c r="C17" s="54">
        <v>3000.0</v>
      </c>
      <c r="D17" s="55" t="s">
        <v>35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B18" s="54" t="s">
        <v>208</v>
      </c>
      <c r="C18" s="54">
        <v>164.0</v>
      </c>
      <c r="D18" s="55" t="s">
        <v>66</v>
      </c>
      <c r="E18" s="54"/>
      <c r="F18" s="67" t="s">
        <v>57</v>
      </c>
      <c r="G18" s="70">
        <f>G13-G14-J26</f>
        <v>111</v>
      </c>
      <c r="H18" s="3"/>
      <c r="I18" s="54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B19" s="54" t="s">
        <v>165</v>
      </c>
      <c r="C19" s="54">
        <v>805.0</v>
      </c>
      <c r="D19" s="55" t="s">
        <v>66</v>
      </c>
      <c r="E19" s="50"/>
      <c r="F19" s="67" t="s">
        <v>59</v>
      </c>
      <c r="G19" s="71">
        <f>G13-G14</f>
        <v>111</v>
      </c>
      <c r="H19" s="3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3">
        <v>46206.0</v>
      </c>
      <c r="B20" s="54" t="s">
        <v>50</v>
      </c>
      <c r="C20" s="54">
        <v>38.0</v>
      </c>
      <c r="D20" s="55" t="s">
        <v>40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B21" s="54" t="s">
        <v>209</v>
      </c>
      <c r="C21" s="54">
        <v>18.0</v>
      </c>
      <c r="D21" s="55" t="s">
        <v>40</v>
      </c>
      <c r="E21" s="50"/>
      <c r="F21" s="72" t="s">
        <v>62</v>
      </c>
      <c r="G21" s="72" t="s">
        <v>63</v>
      </c>
      <c r="H21" s="72" t="s">
        <v>64</v>
      </c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B22" s="54" t="s">
        <v>146</v>
      </c>
      <c r="C22" s="54">
        <v>40.0</v>
      </c>
      <c r="D22" s="55" t="s">
        <v>40</v>
      </c>
      <c r="E22" s="50"/>
      <c r="F22" s="73" t="s">
        <v>40</v>
      </c>
      <c r="G22" s="74">
        <v>8000.0</v>
      </c>
      <c r="H22" s="75">
        <f>SUMIF(D2:D154, "=Living expense",C2:C172)+G15</f>
        <v>7335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B23" s="54" t="s">
        <v>148</v>
      </c>
      <c r="C23" s="54">
        <v>30.0</v>
      </c>
      <c r="D23" s="55" t="s">
        <v>40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53">
        <v>46207.0</v>
      </c>
      <c r="B24" s="54" t="s">
        <v>50</v>
      </c>
      <c r="C24" s="54">
        <v>245.0</v>
      </c>
      <c r="D24" s="55" t="s">
        <v>40</v>
      </c>
      <c r="E24" s="50"/>
      <c r="F24" s="76" t="s">
        <v>67</v>
      </c>
      <c r="G24" s="2"/>
      <c r="H24" s="2"/>
      <c r="I24" s="2"/>
      <c r="J24" s="3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B25" s="54" t="s">
        <v>210</v>
      </c>
      <c r="C25" s="59">
        <f>200+76+68</f>
        <v>344</v>
      </c>
      <c r="D25" s="55" t="s">
        <v>76</v>
      </c>
      <c r="E25" s="50"/>
      <c r="F25" s="72" t="s">
        <v>62</v>
      </c>
      <c r="G25" s="72" t="s">
        <v>63</v>
      </c>
      <c r="H25" s="72" t="s">
        <v>64</v>
      </c>
      <c r="I25" s="72" t="s">
        <v>69</v>
      </c>
      <c r="J25" s="72" t="s">
        <v>70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B26" s="54" t="s">
        <v>174</v>
      </c>
      <c r="C26" s="54">
        <v>78.0</v>
      </c>
      <c r="D26" s="55" t="s">
        <v>40</v>
      </c>
      <c r="E26" s="50"/>
      <c r="F26" s="77" t="s">
        <v>73</v>
      </c>
      <c r="G26" s="78">
        <f t="shared" ref="G26:H26" si="1">SUM(G27:G108)</f>
        <v>24900</v>
      </c>
      <c r="H26" s="79">
        <f t="shared" si="1"/>
        <v>27327</v>
      </c>
      <c r="I26" s="80"/>
      <c r="J26" s="79">
        <f>SUM(J27:J108)</f>
        <v>0</v>
      </c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53">
        <v>46208.0</v>
      </c>
      <c r="B27" s="54" t="s">
        <v>140</v>
      </c>
      <c r="C27" s="54">
        <v>149.0</v>
      </c>
      <c r="D27" s="55" t="s">
        <v>40</v>
      </c>
      <c r="E27" s="54"/>
      <c r="F27" s="81" t="s">
        <v>66</v>
      </c>
      <c r="G27" s="82">
        <v>7200.0</v>
      </c>
      <c r="H27" s="83">
        <f>IFERROR(__xludf.DUMMYFUNCTION("SUMIF($D$2:$D$530, TO_TEXT(F27) ,$C$2:$C$530)"),7448.0)</f>
        <v>7448</v>
      </c>
      <c r="I27" s="54" t="b">
        <v>1</v>
      </c>
      <c r="J27" s="84">
        <f t="shared" ref="J27:J33" si="2">IF(I27=TRUE,0,MAX(G27-H27,0))</f>
        <v>0</v>
      </c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B28" s="54" t="s">
        <v>148</v>
      </c>
      <c r="C28" s="54">
        <v>58.0</v>
      </c>
      <c r="D28" s="55" t="s">
        <v>40</v>
      </c>
      <c r="E28" s="50"/>
      <c r="F28" s="81" t="s">
        <v>12</v>
      </c>
      <c r="G28" s="82">
        <v>3000.0</v>
      </c>
      <c r="H28" s="83">
        <f>IFERROR(__xludf.DUMMYFUNCTION("SUMIF($D$2:$D$530, TO_TEXT(F28) ,$C$2:$C$530)"),5000.0)</f>
        <v>5000</v>
      </c>
      <c r="I28" s="54" t="b">
        <v>1</v>
      </c>
      <c r="J28" s="84">
        <f t="shared" si="2"/>
        <v>0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B29" s="54" t="s">
        <v>211</v>
      </c>
      <c r="C29" s="54">
        <v>109.0</v>
      </c>
      <c r="D29" s="55" t="s">
        <v>40</v>
      </c>
      <c r="E29" s="50"/>
      <c r="F29" s="54" t="s">
        <v>108</v>
      </c>
      <c r="G29" s="55">
        <v>3500.0</v>
      </c>
      <c r="H29" s="83">
        <f>IFERROR(__xludf.DUMMYFUNCTION("SUMIF($D$2:$D$530, TO_TEXT(F29) ,$C$2:$C$530)"),3650.0)</f>
        <v>3650</v>
      </c>
      <c r="I29" s="54" t="b">
        <v>1</v>
      </c>
      <c r="J29" s="84">
        <f t="shared" si="2"/>
        <v>0</v>
      </c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B30" s="54" t="s">
        <v>169</v>
      </c>
      <c r="C30" s="54">
        <v>251.0</v>
      </c>
      <c r="D30" s="55" t="s">
        <v>190</v>
      </c>
      <c r="E30" s="50"/>
      <c r="F30" s="81" t="s">
        <v>35</v>
      </c>
      <c r="G30" s="82">
        <v>3000.0</v>
      </c>
      <c r="H30" s="83">
        <f>IFERROR(__xludf.DUMMYFUNCTION("SUMIF($D$2:$D$530, TO_TEXT(F30) ,$C$2:$C$530)"),3000.0)</f>
        <v>3000</v>
      </c>
      <c r="I30" s="54" t="b">
        <v>1</v>
      </c>
      <c r="J30" s="84">
        <f t="shared" si="2"/>
        <v>0</v>
      </c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53">
        <v>46209.0</v>
      </c>
      <c r="B31" s="54" t="s">
        <v>89</v>
      </c>
      <c r="C31" s="54">
        <v>20.0</v>
      </c>
      <c r="D31" s="55" t="s">
        <v>40</v>
      </c>
      <c r="E31" s="50"/>
      <c r="F31" s="54" t="s">
        <v>10</v>
      </c>
      <c r="G31" s="55">
        <v>1700.0</v>
      </c>
      <c r="H31" s="83">
        <f>IFERROR(__xludf.DUMMYFUNCTION("SUMIF($D$2:$D$530, TO_TEXT(F31) ,$C$2:$C$530)"),1700.0)</f>
        <v>1700</v>
      </c>
      <c r="I31" s="54" t="b">
        <v>1</v>
      </c>
      <c r="J31" s="84">
        <f t="shared" si="2"/>
        <v>0</v>
      </c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B32" s="54" t="s">
        <v>50</v>
      </c>
      <c r="C32" s="54">
        <v>32.0</v>
      </c>
      <c r="D32" s="55" t="s">
        <v>40</v>
      </c>
      <c r="E32" s="50"/>
      <c r="F32" s="81" t="s">
        <v>42</v>
      </c>
      <c r="G32" s="82">
        <v>5000.0</v>
      </c>
      <c r="H32" s="83">
        <f>IFERROR(__xludf.DUMMYFUNCTION("SUMIF($D$2:$D$530, TO_TEXT(F32) ,$C$2:$C$530)"),5000.0)</f>
        <v>5000</v>
      </c>
      <c r="I32" s="54" t="b">
        <v>1</v>
      </c>
      <c r="J32" s="84">
        <f t="shared" si="2"/>
        <v>0</v>
      </c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B33" s="54" t="s">
        <v>56</v>
      </c>
      <c r="C33" s="54">
        <v>16.0</v>
      </c>
      <c r="D33" s="55" t="s">
        <v>40</v>
      </c>
      <c r="E33" s="50"/>
      <c r="F33" s="54" t="s">
        <v>76</v>
      </c>
      <c r="G33" s="55">
        <v>1500.0</v>
      </c>
      <c r="H33" s="83">
        <f>IFERROR(__xludf.DUMMYFUNCTION("SUMIF($D$2:$D$530, TO_TEXT(F33) ,$C$2:$C$530)"),1529.0)</f>
        <v>1529</v>
      </c>
      <c r="I33" s="54" t="b">
        <v>1</v>
      </c>
      <c r="J33" s="84">
        <f t="shared" si="2"/>
        <v>0</v>
      </c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B34" s="54" t="s">
        <v>203</v>
      </c>
      <c r="C34" s="59">
        <f>108-36-36</f>
        <v>36</v>
      </c>
      <c r="D34" s="55" t="s">
        <v>40</v>
      </c>
      <c r="E34" s="54"/>
      <c r="F34" s="81"/>
      <c r="G34" s="55"/>
      <c r="H34" s="83"/>
      <c r="I34" s="54"/>
      <c r="J34" s="84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B35" s="54" t="s">
        <v>168</v>
      </c>
      <c r="C35" s="54">
        <v>1133.0</v>
      </c>
      <c r="D35" s="55" t="s">
        <v>40</v>
      </c>
      <c r="E35" s="50"/>
      <c r="F35" s="81"/>
      <c r="G35" s="55"/>
      <c r="H35" s="83"/>
      <c r="I35" s="54"/>
      <c r="J35" s="84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B36" s="54" t="s">
        <v>56</v>
      </c>
      <c r="C36" s="54">
        <v>26.0</v>
      </c>
      <c r="D36" s="55" t="s">
        <v>40</v>
      </c>
      <c r="E36" s="50"/>
      <c r="F36" s="54"/>
      <c r="G36" s="55"/>
      <c r="H36" s="83"/>
      <c r="I36" s="54"/>
      <c r="J36" s="84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53">
        <v>46210.0</v>
      </c>
      <c r="B37" s="54" t="s">
        <v>50</v>
      </c>
      <c r="C37" s="54">
        <v>32.0</v>
      </c>
      <c r="D37" s="55" t="s">
        <v>40</v>
      </c>
      <c r="E37" s="50"/>
      <c r="F37" s="54"/>
      <c r="G37" s="55"/>
      <c r="H37" s="83"/>
      <c r="I37" s="54"/>
      <c r="J37" s="84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B38" s="54" t="s">
        <v>212</v>
      </c>
      <c r="C38" s="54">
        <v>18.0</v>
      </c>
      <c r="D38" s="55" t="s">
        <v>40</v>
      </c>
      <c r="E38" s="54"/>
      <c r="F38" s="54"/>
      <c r="G38" s="55"/>
      <c r="H38" s="83"/>
      <c r="I38" s="55"/>
      <c r="J38" s="83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B39" s="54" t="s">
        <v>213</v>
      </c>
      <c r="C39" s="59">
        <f>132-30-30</f>
        <v>72</v>
      </c>
      <c r="D39" s="55" t="s">
        <v>40</v>
      </c>
      <c r="E39" s="54"/>
      <c r="F39" s="54"/>
      <c r="G39" s="55"/>
      <c r="H39" s="83"/>
      <c r="I39" s="55"/>
      <c r="J39" s="83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53">
        <v>46211.0</v>
      </c>
      <c r="B40" s="54" t="s">
        <v>50</v>
      </c>
      <c r="C40" s="54">
        <v>32.0</v>
      </c>
      <c r="D40" s="55" t="s">
        <v>40</v>
      </c>
      <c r="E40" s="54"/>
      <c r="F40" s="54"/>
      <c r="G40" s="55"/>
      <c r="H40" s="83"/>
      <c r="I40" s="55"/>
      <c r="J40" s="83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B41" s="54" t="s">
        <v>212</v>
      </c>
      <c r="C41" s="54">
        <v>18.0</v>
      </c>
      <c r="D41" s="55" t="s">
        <v>40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B42" s="54" t="s">
        <v>182</v>
      </c>
      <c r="C42" s="54">
        <v>846.0</v>
      </c>
      <c r="D42" s="55" t="s">
        <v>48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B43" s="54" t="s">
        <v>203</v>
      </c>
      <c r="C43" s="59">
        <f>177-44-31-40</f>
        <v>62</v>
      </c>
      <c r="D43" s="55" t="s">
        <v>40</v>
      </c>
      <c r="E43" s="54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B44" s="54" t="s">
        <v>151</v>
      </c>
      <c r="C44" s="54">
        <v>117.0</v>
      </c>
      <c r="D44" s="55" t="s">
        <v>40</v>
      </c>
      <c r="E44" s="50"/>
      <c r="F44" s="54"/>
      <c r="G44" s="55"/>
      <c r="H44" s="83"/>
      <c r="I44" s="55"/>
      <c r="J44" s="83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53">
        <v>46212.0</v>
      </c>
      <c r="B45" s="54" t="s">
        <v>50</v>
      </c>
      <c r="C45" s="54">
        <v>32.0</v>
      </c>
      <c r="D45" s="55" t="s">
        <v>40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B46" s="54" t="s">
        <v>214</v>
      </c>
      <c r="C46" s="54">
        <v>20.0</v>
      </c>
      <c r="D46" s="55" t="s">
        <v>40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B47" s="54" t="s">
        <v>212</v>
      </c>
      <c r="C47" s="54">
        <v>18.0</v>
      </c>
      <c r="D47" s="55" t="s">
        <v>40</v>
      </c>
      <c r="E47" s="50"/>
      <c r="F47" s="54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B48" s="54" t="s">
        <v>213</v>
      </c>
      <c r="C48" s="59">
        <f>78-35</f>
        <v>43</v>
      </c>
      <c r="D48" s="55" t="s">
        <v>40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B49" s="54" t="s">
        <v>215</v>
      </c>
      <c r="C49" s="54">
        <v>185.0</v>
      </c>
      <c r="D49" s="55" t="s">
        <v>76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B50" s="54" t="s">
        <v>216</v>
      </c>
      <c r="C50" s="54">
        <v>43.0</v>
      </c>
      <c r="D50" s="55" t="s">
        <v>40</v>
      </c>
      <c r="E50" s="54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53">
        <v>46213.0</v>
      </c>
      <c r="B51" s="54" t="s">
        <v>217</v>
      </c>
      <c r="C51" s="54">
        <v>105.0</v>
      </c>
      <c r="D51" s="55" t="s">
        <v>40</v>
      </c>
      <c r="E51" s="54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B52" s="54" t="s">
        <v>50</v>
      </c>
      <c r="C52" s="54">
        <v>60.0</v>
      </c>
      <c r="D52" s="55" t="s">
        <v>40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B53" s="54" t="s">
        <v>218</v>
      </c>
      <c r="C53" s="54">
        <v>678.0</v>
      </c>
      <c r="D53" s="55" t="s">
        <v>48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B54" s="54" t="s">
        <v>219</v>
      </c>
      <c r="C54" s="54">
        <v>-340.0</v>
      </c>
      <c r="D54" s="55" t="s">
        <v>40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B55" s="54" t="s">
        <v>220</v>
      </c>
      <c r="C55" s="54">
        <v>1000.0</v>
      </c>
      <c r="D55" s="55" t="s">
        <v>76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B56" s="54" t="s">
        <v>183</v>
      </c>
      <c r="C56" s="54">
        <v>25.0</v>
      </c>
      <c r="D56" s="55" t="s">
        <v>40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B57" s="54" t="s">
        <v>221</v>
      </c>
      <c r="C57" s="54">
        <v>35.0</v>
      </c>
      <c r="D57" s="55" t="s">
        <v>40</v>
      </c>
      <c r="E57" s="54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53">
        <v>46214.0</v>
      </c>
      <c r="B58" s="54" t="s">
        <v>89</v>
      </c>
      <c r="C58" s="54">
        <v>45.0</v>
      </c>
      <c r="D58" s="55" t="s">
        <v>40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B59" s="54" t="s">
        <v>50</v>
      </c>
      <c r="C59" s="54">
        <v>30.0</v>
      </c>
      <c r="D59" s="55" t="s">
        <v>40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B60" s="54" t="s">
        <v>56</v>
      </c>
      <c r="C60" s="54">
        <v>30.0</v>
      </c>
      <c r="D60" s="55" t="s">
        <v>40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B61" s="54" t="s">
        <v>144</v>
      </c>
      <c r="C61" s="54">
        <v>42.0</v>
      </c>
      <c r="D61" s="55" t="s">
        <v>40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B62" s="54" t="s">
        <v>33</v>
      </c>
      <c r="C62" s="54">
        <v>450.0</v>
      </c>
      <c r="D62" s="55" t="s">
        <v>34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B63" s="54" t="s">
        <v>111</v>
      </c>
      <c r="C63" s="50">
        <f>88+20</f>
        <v>108</v>
      </c>
      <c r="D63" s="55" t="s">
        <v>40</v>
      </c>
      <c r="E63" s="54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53">
        <v>46215.0</v>
      </c>
      <c r="B64" s="54" t="s">
        <v>222</v>
      </c>
      <c r="C64" s="54">
        <v>1650.0</v>
      </c>
      <c r="D64" s="55" t="s">
        <v>108</v>
      </c>
      <c r="E64" s="54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B65" s="54" t="s">
        <v>223</v>
      </c>
      <c r="C65" s="54">
        <v>113.0</v>
      </c>
      <c r="D65" s="55" t="s">
        <v>40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B66" s="54" t="s">
        <v>80</v>
      </c>
      <c r="C66" s="54">
        <v>140.0</v>
      </c>
      <c r="D66" s="55" t="s">
        <v>40</v>
      </c>
      <c r="E66" s="54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B67" s="54" t="s">
        <v>11</v>
      </c>
      <c r="C67" s="54">
        <v>54.0</v>
      </c>
      <c r="D67" s="55" t="s">
        <v>48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53">
        <v>46216.0</v>
      </c>
      <c r="B68" s="54" t="s">
        <v>212</v>
      </c>
      <c r="C68" s="54">
        <v>18.0</v>
      </c>
      <c r="D68" s="55" t="s">
        <v>40</v>
      </c>
      <c r="E68" s="54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B69" s="54" t="s">
        <v>151</v>
      </c>
      <c r="C69" s="54">
        <v>22.0</v>
      </c>
      <c r="D69" s="55" t="s">
        <v>40</v>
      </c>
      <c r="E69" s="54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B70" s="54" t="s">
        <v>133</v>
      </c>
      <c r="C70" s="54">
        <v>27.0</v>
      </c>
      <c r="D70" s="55" t="s">
        <v>40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B71" s="54" t="s">
        <v>91</v>
      </c>
      <c r="C71" s="54">
        <v>57.0</v>
      </c>
      <c r="D71" s="55" t="s">
        <v>40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B72" s="54" t="s">
        <v>224</v>
      </c>
      <c r="C72" s="59">
        <f>35+20</f>
        <v>55</v>
      </c>
      <c r="D72" s="55" t="s">
        <v>40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53">
        <v>46217.0</v>
      </c>
      <c r="B73" s="54" t="s">
        <v>56</v>
      </c>
      <c r="C73" s="54">
        <v>16.0</v>
      </c>
      <c r="D73" s="55" t="s">
        <v>40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B74" s="54" t="s">
        <v>211</v>
      </c>
      <c r="C74" s="54">
        <v>83.0</v>
      </c>
      <c r="D74" s="55" t="s">
        <v>40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53">
        <v>46218.0</v>
      </c>
      <c r="B75" s="54" t="s">
        <v>178</v>
      </c>
      <c r="C75" s="54">
        <v>119.0</v>
      </c>
      <c r="D75" s="55" t="s">
        <v>66</v>
      </c>
      <c r="E75" s="54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B76" s="54" t="s">
        <v>225</v>
      </c>
      <c r="C76" s="54">
        <v>6000.0</v>
      </c>
      <c r="D76" s="55" t="s">
        <v>66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B77" s="54" t="s">
        <v>226</v>
      </c>
      <c r="C77" s="54">
        <v>32.0</v>
      </c>
      <c r="D77" s="55" t="s">
        <v>40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B78" s="54" t="s">
        <v>212</v>
      </c>
      <c r="C78" s="54">
        <v>18.0</v>
      </c>
      <c r="D78" s="55" t="s">
        <v>40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B79" s="54" t="s">
        <v>227</v>
      </c>
      <c r="C79" s="54">
        <v>-500.0</v>
      </c>
      <c r="D79" s="55" t="s">
        <v>34</v>
      </c>
      <c r="E79" s="54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B80" s="54" t="s">
        <v>152</v>
      </c>
      <c r="C80" s="54">
        <f>50-12</f>
        <v>38</v>
      </c>
      <c r="D80" s="55" t="s">
        <v>40</v>
      </c>
      <c r="E80" s="54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B81" s="54" t="s">
        <v>130</v>
      </c>
      <c r="C81" s="54">
        <v>68.0</v>
      </c>
      <c r="D81" s="55" t="s">
        <v>40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B82" s="54" t="s">
        <v>228</v>
      </c>
      <c r="C82" s="54">
        <v>5000.0</v>
      </c>
      <c r="D82" s="55" t="s">
        <v>12</v>
      </c>
      <c r="E82" s="54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53">
        <v>46219.0</v>
      </c>
      <c r="B83" s="54" t="s">
        <v>212</v>
      </c>
      <c r="C83" s="54">
        <v>18.0</v>
      </c>
      <c r="D83" s="55" t="s">
        <v>40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B84" s="54" t="s">
        <v>229</v>
      </c>
      <c r="C84" s="54">
        <v>61.0</v>
      </c>
      <c r="D84" s="55" t="s">
        <v>40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53">
        <v>46220.0</v>
      </c>
      <c r="B85" s="54" t="s">
        <v>175</v>
      </c>
      <c r="C85" s="54">
        <v>40.0</v>
      </c>
      <c r="D85" s="55" t="s">
        <v>40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B86" s="54" t="s">
        <v>230</v>
      </c>
      <c r="C86" s="54">
        <v>42.0</v>
      </c>
      <c r="D86" s="55" t="s">
        <v>40</v>
      </c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53">
        <v>46221.0</v>
      </c>
      <c r="B87" s="54" t="s">
        <v>231</v>
      </c>
      <c r="C87" s="54">
        <v>30.0</v>
      </c>
      <c r="D87" s="55" t="s">
        <v>40</v>
      </c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B88" s="54" t="s">
        <v>232</v>
      </c>
      <c r="C88" s="59">
        <f>12+49</f>
        <v>61</v>
      </c>
      <c r="D88" s="55" t="s">
        <v>40</v>
      </c>
      <c r="E88" s="54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B89" s="54" t="s">
        <v>233</v>
      </c>
      <c r="C89" s="54">
        <v>420.0</v>
      </c>
      <c r="D89" s="55" t="s">
        <v>40</v>
      </c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53">
        <v>46222.0</v>
      </c>
      <c r="B90" s="54" t="s">
        <v>89</v>
      </c>
      <c r="C90" s="54">
        <v>20.0</v>
      </c>
      <c r="D90" s="55" t="s">
        <v>40</v>
      </c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B91" s="54" t="s">
        <v>232</v>
      </c>
      <c r="C91" s="59">
        <f>20+22</f>
        <v>42</v>
      </c>
      <c r="D91" s="55" t="s">
        <v>40</v>
      </c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B92" s="54" t="s">
        <v>104</v>
      </c>
      <c r="C92" s="54">
        <v>441.0</v>
      </c>
      <c r="D92" s="55" t="s">
        <v>48</v>
      </c>
      <c r="E92" s="54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B93" s="54" t="s">
        <v>91</v>
      </c>
      <c r="C93" s="54">
        <v>80.0</v>
      </c>
      <c r="D93" s="55" t="s">
        <v>40</v>
      </c>
      <c r="E93" s="54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B94" s="54" t="s">
        <v>234</v>
      </c>
      <c r="C94" s="54">
        <v>113.0</v>
      </c>
      <c r="D94" s="55" t="s">
        <v>190</v>
      </c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53">
        <v>46223.0</v>
      </c>
      <c r="B95" s="54" t="s">
        <v>235</v>
      </c>
      <c r="C95" s="54">
        <v>16.0</v>
      </c>
      <c r="D95" s="55" t="s">
        <v>40</v>
      </c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B96" s="54" t="s">
        <v>91</v>
      </c>
      <c r="C96" s="54">
        <f>89-35</f>
        <v>54</v>
      </c>
      <c r="D96" s="55" t="s">
        <v>40</v>
      </c>
      <c r="E96" s="54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53">
        <v>46224.0</v>
      </c>
      <c r="B97" s="54" t="s">
        <v>236</v>
      </c>
      <c r="C97" s="54">
        <v>200.0</v>
      </c>
      <c r="D97" s="55" t="s">
        <v>66</v>
      </c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B98" s="54" t="s">
        <v>235</v>
      </c>
      <c r="C98" s="54">
        <v>16.0</v>
      </c>
      <c r="D98" s="55" t="s">
        <v>40</v>
      </c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B99" s="54" t="s">
        <v>145</v>
      </c>
      <c r="C99" s="54">
        <v>32.0</v>
      </c>
      <c r="D99" s="55" t="s">
        <v>40</v>
      </c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B100" s="54" t="s">
        <v>237</v>
      </c>
      <c r="C100" s="54">
        <v>35.0</v>
      </c>
      <c r="D100" s="55" t="s">
        <v>40</v>
      </c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53">
        <v>46225.0</v>
      </c>
      <c r="B101" s="54" t="s">
        <v>238</v>
      </c>
      <c r="C101" s="54">
        <v>370.0</v>
      </c>
      <c r="D101" s="55" t="s">
        <v>40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B102" s="54" t="s">
        <v>156</v>
      </c>
      <c r="C102" s="54">
        <v>20.0</v>
      </c>
      <c r="D102" s="55" t="s">
        <v>40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B103" s="54" t="s">
        <v>239</v>
      </c>
      <c r="C103" s="54">
        <v>50.0</v>
      </c>
      <c r="D103" s="55" t="s">
        <v>40</v>
      </c>
      <c r="E103" s="54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B104" s="54" t="s">
        <v>240</v>
      </c>
      <c r="C104" s="54">
        <v>70.0</v>
      </c>
      <c r="D104" s="55" t="s">
        <v>40</v>
      </c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B105" s="54" t="s">
        <v>241</v>
      </c>
      <c r="C105" s="54">
        <f>119-35-35</f>
        <v>49</v>
      </c>
      <c r="D105" s="55" t="s">
        <v>40</v>
      </c>
      <c r="E105" s="54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53">
        <v>46226.0</v>
      </c>
      <c r="B106" s="54" t="s">
        <v>89</v>
      </c>
      <c r="C106" s="54">
        <v>43.0</v>
      </c>
      <c r="D106" s="55" t="s">
        <v>40</v>
      </c>
      <c r="E106" s="54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B107" s="54" t="s">
        <v>242</v>
      </c>
      <c r="C107" s="54">
        <v>20.0</v>
      </c>
      <c r="D107" s="55" t="s">
        <v>101</v>
      </c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B108" s="54" t="s">
        <v>56</v>
      </c>
      <c r="C108" s="54">
        <v>16.0</v>
      </c>
      <c r="D108" s="55" t="s">
        <v>40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B109" s="54" t="s">
        <v>50</v>
      </c>
      <c r="C109" s="54">
        <v>30.0</v>
      </c>
      <c r="D109" s="55" t="s">
        <v>40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B110" s="54" t="s">
        <v>146</v>
      </c>
      <c r="C110" s="54">
        <v>40.0</v>
      </c>
      <c r="D110" s="55" t="s">
        <v>40</v>
      </c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B111" s="54" t="s">
        <v>243</v>
      </c>
      <c r="C111" s="54">
        <v>40.0</v>
      </c>
      <c r="D111" s="55" t="s">
        <v>40</v>
      </c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53">
        <v>46227.0</v>
      </c>
      <c r="B112" s="54" t="s">
        <v>145</v>
      </c>
      <c r="C112" s="54">
        <v>32.0</v>
      </c>
      <c r="D112" s="55" t="s">
        <v>40</v>
      </c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B113" s="54" t="s">
        <v>56</v>
      </c>
      <c r="C113" s="54">
        <v>16.0</v>
      </c>
      <c r="D113" s="55" t="s">
        <v>40</v>
      </c>
      <c r="E113" s="54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B114" s="54" t="s">
        <v>80</v>
      </c>
      <c r="C114" s="54">
        <v>65.0</v>
      </c>
      <c r="D114" s="55" t="s">
        <v>40</v>
      </c>
      <c r="E114" s="54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53">
        <v>46228.0</v>
      </c>
      <c r="B115" s="54" t="s">
        <v>244</v>
      </c>
      <c r="C115" s="54">
        <f>1307-70</f>
        <v>1237</v>
      </c>
      <c r="D115" s="55" t="s">
        <v>72</v>
      </c>
      <c r="E115" s="54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B116" s="54" t="s">
        <v>93</v>
      </c>
      <c r="C116" s="54">
        <v>70.0</v>
      </c>
      <c r="D116" s="55" t="s">
        <v>40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53">
        <v>46229.0</v>
      </c>
      <c r="B117" s="54" t="s">
        <v>93</v>
      </c>
      <c r="C117" s="54">
        <v>51.0</v>
      </c>
      <c r="D117" s="55" t="s">
        <v>40</v>
      </c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53">
        <v>46230.0</v>
      </c>
      <c r="B118" s="93" t="s">
        <v>50</v>
      </c>
      <c r="C118" s="93">
        <v>37.0</v>
      </c>
      <c r="D118" s="55" t="s">
        <v>40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B119" s="54" t="s">
        <v>156</v>
      </c>
      <c r="C119" s="54">
        <v>14.0</v>
      </c>
      <c r="D119" s="55" t="s">
        <v>40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B120" s="54" t="s">
        <v>229</v>
      </c>
      <c r="C120" s="54">
        <v>61.0</v>
      </c>
      <c r="D120" s="55" t="s">
        <v>40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B121" s="54" t="s">
        <v>156</v>
      </c>
      <c r="C121" s="54">
        <v>26.0</v>
      </c>
      <c r="D121" s="55" t="s">
        <v>40</v>
      </c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B122" s="54" t="s">
        <v>138</v>
      </c>
      <c r="C122" s="54">
        <v>300.0</v>
      </c>
      <c r="D122" s="55" t="s">
        <v>101</v>
      </c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53">
        <v>46231.0</v>
      </c>
      <c r="B123" s="54" t="s">
        <v>175</v>
      </c>
      <c r="C123" s="54">
        <v>40.0</v>
      </c>
      <c r="D123" s="55" t="s">
        <v>40</v>
      </c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B124" s="54" t="s">
        <v>156</v>
      </c>
      <c r="C124" s="54">
        <v>14.0</v>
      </c>
      <c r="D124" s="55" t="s">
        <v>40</v>
      </c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B125" s="54" t="s">
        <v>146</v>
      </c>
      <c r="C125" s="54">
        <v>40.0</v>
      </c>
      <c r="D125" s="55" t="s">
        <v>40</v>
      </c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B126" s="54" t="s">
        <v>245</v>
      </c>
      <c r="C126" s="54">
        <v>15.0</v>
      </c>
      <c r="D126" s="55" t="s">
        <v>40</v>
      </c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B127" s="54" t="s">
        <v>140</v>
      </c>
      <c r="C127" s="54">
        <v>108.0</v>
      </c>
      <c r="D127" s="55" t="s">
        <v>40</v>
      </c>
      <c r="E127" s="54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53">
        <v>46232.0</v>
      </c>
      <c r="B128" s="54" t="s">
        <v>50</v>
      </c>
      <c r="C128" s="54">
        <v>25.0</v>
      </c>
      <c r="D128" s="55" t="s">
        <v>40</v>
      </c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B129" s="54" t="s">
        <v>156</v>
      </c>
      <c r="C129" s="54">
        <v>14.0</v>
      </c>
      <c r="D129" s="55" t="s">
        <v>40</v>
      </c>
      <c r="E129" s="54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B130" s="54" t="s">
        <v>212</v>
      </c>
      <c r="C130" s="54">
        <v>24.0</v>
      </c>
      <c r="D130" s="55" t="s">
        <v>40</v>
      </c>
      <c r="E130" s="54" t="s">
        <v>246</v>
      </c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B131" s="54" t="s">
        <v>247</v>
      </c>
      <c r="C131" s="54">
        <v>255.0</v>
      </c>
      <c r="D131" s="55" t="s">
        <v>40</v>
      </c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B132" s="54" t="s">
        <v>37</v>
      </c>
      <c r="C132" s="54">
        <v>50.0</v>
      </c>
      <c r="D132" s="55" t="s">
        <v>40</v>
      </c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53"/>
      <c r="B133" s="59"/>
      <c r="C133" s="59"/>
      <c r="D133" s="55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53"/>
      <c r="B134" s="59"/>
      <c r="C134" s="59"/>
      <c r="D134" s="55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53"/>
      <c r="B135" s="59"/>
      <c r="C135" s="59"/>
      <c r="D135" s="55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85"/>
      <c r="B136" s="59"/>
      <c r="C136" s="59"/>
      <c r="D136" s="55"/>
      <c r="E136" s="54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85"/>
      <c r="B137" s="59"/>
      <c r="C137" s="59"/>
      <c r="D137" s="55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85"/>
      <c r="B138" s="59"/>
      <c r="C138" s="59"/>
      <c r="D138" s="55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85"/>
      <c r="B139" s="59"/>
      <c r="C139" s="59"/>
      <c r="D139" s="55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85"/>
      <c r="B140" s="59"/>
      <c r="C140" s="59"/>
      <c r="D140" s="55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85"/>
      <c r="B141" s="59"/>
      <c r="C141" s="59"/>
      <c r="D141" s="55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85"/>
      <c r="B142" s="59"/>
      <c r="C142" s="59"/>
      <c r="D142" s="55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85"/>
      <c r="B143" s="59"/>
      <c r="C143" s="59"/>
      <c r="D143" s="55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85"/>
      <c r="B144" s="59"/>
      <c r="C144" s="59"/>
      <c r="D144" s="86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85"/>
      <c r="B145" s="59"/>
      <c r="C145" s="59"/>
      <c r="D145" s="86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85"/>
      <c r="B146" s="59"/>
      <c r="C146" s="59"/>
      <c r="D146" s="86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85"/>
      <c r="B147" s="59"/>
      <c r="C147" s="59"/>
      <c r="D147" s="86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85"/>
      <c r="B148" s="59"/>
      <c r="C148" s="59"/>
      <c r="D148" s="86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85"/>
      <c r="B149" s="59"/>
      <c r="C149" s="59"/>
      <c r="D149" s="86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85"/>
      <c r="B150" s="59"/>
      <c r="C150" s="59"/>
      <c r="D150" s="86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50"/>
      <c r="B151" s="50"/>
      <c r="C151" s="59"/>
      <c r="D151" s="86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50"/>
      <c r="B152" s="50"/>
      <c r="C152" s="59"/>
      <c r="D152" s="86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50"/>
      <c r="B153" s="50"/>
      <c r="C153" s="59"/>
      <c r="D153" s="86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50"/>
      <c r="B154" s="88"/>
      <c r="C154" s="89"/>
      <c r="D154" s="86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50"/>
      <c r="B155" s="88"/>
      <c r="C155" s="89"/>
      <c r="D155" s="84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50"/>
      <c r="B156" s="88"/>
      <c r="C156" s="89"/>
      <c r="D156" s="84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50"/>
      <c r="B157" s="88"/>
      <c r="C157" s="89"/>
      <c r="D157" s="84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50"/>
      <c r="B158" s="88"/>
      <c r="C158" s="89"/>
      <c r="D158" s="84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50"/>
      <c r="B159" s="88"/>
      <c r="C159" s="89"/>
      <c r="D159" s="84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50"/>
      <c r="B160" s="88"/>
      <c r="C160" s="89"/>
      <c r="D160" s="84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50"/>
      <c r="B161" s="88"/>
      <c r="C161" s="89"/>
      <c r="D161" s="84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50"/>
      <c r="B162" s="88"/>
      <c r="C162" s="89"/>
      <c r="D162" s="84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50"/>
      <c r="B163" s="88"/>
      <c r="C163" s="89"/>
      <c r="D163" s="84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50"/>
      <c r="B164" s="88"/>
      <c r="C164" s="89"/>
      <c r="D164" s="84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50"/>
      <c r="B165" s="88"/>
      <c r="C165" s="89"/>
      <c r="D165" s="84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50"/>
      <c r="B166" s="88"/>
      <c r="C166" s="89"/>
      <c r="D166" s="84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50"/>
      <c r="B167" s="88"/>
      <c r="C167" s="89"/>
      <c r="D167" s="84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50"/>
      <c r="B168" s="88"/>
      <c r="C168" s="89"/>
      <c r="D168" s="84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50"/>
      <c r="B169" s="88"/>
      <c r="C169" s="89"/>
      <c r="D169" s="84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50"/>
      <c r="B170" s="88"/>
      <c r="C170" s="89"/>
      <c r="D170" s="84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50"/>
      <c r="B171" s="88"/>
      <c r="C171" s="89"/>
      <c r="D171" s="84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50"/>
      <c r="B172" s="88"/>
      <c r="C172" s="89"/>
      <c r="D172" s="84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50"/>
      <c r="B173" s="88"/>
      <c r="C173" s="89"/>
      <c r="D173" s="84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50"/>
      <c r="B174" s="88"/>
      <c r="C174" s="89"/>
      <c r="D174" s="84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50"/>
      <c r="B175" s="88"/>
      <c r="C175" s="89"/>
      <c r="D175" s="84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50"/>
      <c r="B176" s="88"/>
      <c r="C176" s="89"/>
      <c r="D176" s="84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50"/>
      <c r="B177" s="88"/>
      <c r="C177" s="89"/>
      <c r="D177" s="84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50"/>
      <c r="B178" s="88"/>
      <c r="C178" s="89"/>
      <c r="D178" s="84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50"/>
      <c r="B179" s="88"/>
      <c r="C179" s="89"/>
      <c r="D179" s="84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50"/>
      <c r="B180" s="88"/>
      <c r="C180" s="89"/>
      <c r="D180" s="84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50"/>
      <c r="B181" s="88"/>
      <c r="C181" s="89"/>
      <c r="D181" s="84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50"/>
      <c r="B182" s="88"/>
      <c r="C182" s="89"/>
      <c r="D182" s="84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50"/>
      <c r="B183" s="88"/>
      <c r="C183" s="89"/>
      <c r="D183" s="84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50"/>
      <c r="B184" s="88"/>
      <c r="C184" s="89"/>
      <c r="D184" s="84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50"/>
      <c r="B185" s="88"/>
      <c r="C185" s="89"/>
      <c r="D185" s="84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50"/>
      <c r="B186" s="88"/>
      <c r="C186" s="89"/>
      <c r="D186" s="84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50"/>
      <c r="B187" s="88"/>
      <c r="C187" s="89"/>
      <c r="D187" s="84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50"/>
      <c r="B188" s="88"/>
      <c r="C188" s="89"/>
      <c r="D188" s="84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50"/>
      <c r="B189" s="88"/>
      <c r="C189" s="89"/>
      <c r="D189" s="84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50"/>
      <c r="B190" s="88"/>
      <c r="C190" s="89"/>
      <c r="D190" s="84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50"/>
      <c r="B191" s="88"/>
      <c r="C191" s="89"/>
      <c r="D191" s="84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50"/>
      <c r="B192" s="88"/>
      <c r="C192" s="89"/>
      <c r="D192" s="84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50"/>
      <c r="B193" s="88"/>
      <c r="C193" s="89"/>
      <c r="D193" s="84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50"/>
      <c r="B194" s="88"/>
      <c r="C194" s="89"/>
      <c r="D194" s="84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50"/>
      <c r="B195" s="88"/>
      <c r="C195" s="89"/>
      <c r="D195" s="84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50"/>
      <c r="B196" s="88"/>
      <c r="C196" s="89"/>
      <c r="D196" s="84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50"/>
      <c r="B197" s="88"/>
      <c r="C197" s="89"/>
      <c r="D197" s="84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50"/>
      <c r="B198" s="88"/>
      <c r="C198" s="89"/>
      <c r="D198" s="84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50"/>
      <c r="B199" s="88"/>
      <c r="C199" s="89"/>
      <c r="D199" s="84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50"/>
      <c r="B200" s="88"/>
      <c r="C200" s="89"/>
      <c r="D200" s="84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50"/>
      <c r="B201" s="88"/>
      <c r="C201" s="89"/>
      <c r="D201" s="84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50"/>
      <c r="B202" s="88"/>
      <c r="C202" s="89"/>
      <c r="D202" s="84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50"/>
      <c r="B203" s="88"/>
      <c r="C203" s="89"/>
      <c r="D203" s="84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50"/>
      <c r="B204" s="88"/>
      <c r="C204" s="89"/>
      <c r="D204" s="84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50"/>
      <c r="B205" s="88"/>
      <c r="C205" s="89"/>
      <c r="D205" s="84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50"/>
      <c r="B206" s="88"/>
      <c r="C206" s="89"/>
      <c r="D206" s="84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50"/>
      <c r="B207" s="88"/>
      <c r="C207" s="89"/>
      <c r="D207" s="84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50"/>
      <c r="B208" s="88"/>
      <c r="C208" s="89"/>
      <c r="D208" s="84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50"/>
      <c r="B209" s="88"/>
      <c r="C209" s="89"/>
      <c r="D209" s="84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50"/>
      <c r="B210" s="88"/>
      <c r="C210" s="89"/>
      <c r="D210" s="84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50"/>
      <c r="B211" s="88"/>
      <c r="C211" s="89"/>
      <c r="D211" s="84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50"/>
      <c r="B212" s="88"/>
      <c r="C212" s="89"/>
      <c r="D212" s="84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50"/>
      <c r="B213" s="88"/>
      <c r="C213" s="89"/>
      <c r="D213" s="84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50"/>
      <c r="B214" s="88"/>
      <c r="C214" s="89"/>
      <c r="D214" s="84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50"/>
      <c r="B215" s="88"/>
      <c r="C215" s="89"/>
      <c r="D215" s="84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50"/>
      <c r="B216" s="88"/>
      <c r="C216" s="89"/>
      <c r="D216" s="84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50"/>
      <c r="B217" s="88"/>
      <c r="C217" s="89"/>
      <c r="D217" s="84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50"/>
      <c r="B218" s="88"/>
      <c r="C218" s="89"/>
      <c r="D218" s="84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50"/>
      <c r="B219" s="88"/>
      <c r="C219" s="89"/>
      <c r="D219" s="84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50"/>
      <c r="B220" s="88"/>
      <c r="C220" s="89"/>
      <c r="D220" s="84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50"/>
      <c r="B221" s="88"/>
      <c r="C221" s="89"/>
      <c r="D221" s="84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50"/>
      <c r="B222" s="88"/>
      <c r="C222" s="89"/>
      <c r="D222" s="84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50"/>
      <c r="B223" s="88"/>
      <c r="C223" s="89"/>
      <c r="D223" s="84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50"/>
      <c r="B224" s="88"/>
      <c r="C224" s="89"/>
      <c r="D224" s="84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50"/>
      <c r="B225" s="88"/>
      <c r="C225" s="89"/>
      <c r="D225" s="84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50"/>
      <c r="B226" s="88"/>
      <c r="C226" s="89"/>
      <c r="D226" s="84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50"/>
      <c r="B227" s="88"/>
      <c r="C227" s="89"/>
      <c r="D227" s="84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50"/>
      <c r="B228" s="88"/>
      <c r="C228" s="90"/>
      <c r="D228" s="84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50"/>
      <c r="B229" s="88"/>
      <c r="C229" s="90"/>
      <c r="D229" s="84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50"/>
      <c r="B230" s="88"/>
      <c r="C230" s="90"/>
      <c r="D230" s="84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50"/>
      <c r="B231" s="88"/>
      <c r="C231" s="90"/>
      <c r="D231" s="84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50"/>
      <c r="B232" s="88"/>
      <c r="C232" s="90"/>
      <c r="D232" s="84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50"/>
      <c r="B233" s="88"/>
      <c r="C233" s="90"/>
      <c r="D233" s="84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50"/>
      <c r="B234" s="88"/>
      <c r="C234" s="90"/>
      <c r="D234" s="84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50"/>
      <c r="B235" s="88"/>
      <c r="C235" s="90"/>
      <c r="D235" s="84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50"/>
      <c r="B236" s="88"/>
      <c r="C236" s="90"/>
      <c r="D236" s="84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50"/>
      <c r="B237" s="88"/>
      <c r="C237" s="90"/>
      <c r="D237" s="84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50"/>
      <c r="B238" s="88"/>
      <c r="C238" s="90"/>
      <c r="D238" s="84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50"/>
      <c r="B239" s="88"/>
      <c r="C239" s="90"/>
      <c r="D239" s="84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50"/>
      <c r="B240" s="88"/>
      <c r="C240" s="90"/>
      <c r="D240" s="84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50"/>
      <c r="B241" s="88"/>
      <c r="C241" s="90"/>
      <c r="D241" s="84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50"/>
      <c r="B242" s="88"/>
      <c r="C242" s="90"/>
      <c r="D242" s="84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50"/>
      <c r="B243" s="88"/>
      <c r="C243" s="90"/>
      <c r="D243" s="84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50"/>
      <c r="B244" s="88"/>
      <c r="C244" s="90"/>
      <c r="D244" s="84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50"/>
      <c r="B245" s="88"/>
      <c r="C245" s="90"/>
      <c r="D245" s="84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50"/>
      <c r="B246" s="88"/>
      <c r="C246" s="90"/>
      <c r="D246" s="84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50"/>
      <c r="B247" s="88"/>
      <c r="C247" s="90"/>
      <c r="D247" s="84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50"/>
      <c r="B248" s="88"/>
      <c r="C248" s="90"/>
      <c r="D248" s="84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50"/>
      <c r="B249" s="88"/>
      <c r="C249" s="90"/>
      <c r="D249" s="84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50"/>
      <c r="B250" s="88"/>
      <c r="C250" s="90"/>
      <c r="D250" s="84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50"/>
      <c r="B251" s="88"/>
      <c r="C251" s="90"/>
      <c r="D251" s="84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50"/>
      <c r="B252" s="88"/>
      <c r="C252" s="90"/>
      <c r="D252" s="84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50"/>
      <c r="B253" s="88"/>
      <c r="C253" s="90"/>
      <c r="D253" s="84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50"/>
      <c r="B254" s="88"/>
      <c r="C254" s="90"/>
      <c r="D254" s="84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50"/>
      <c r="B255" s="88"/>
      <c r="C255" s="90"/>
      <c r="D255" s="84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50"/>
      <c r="B256" s="88"/>
      <c r="C256" s="90"/>
      <c r="D256" s="84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50"/>
      <c r="B257" s="88"/>
      <c r="C257" s="90"/>
      <c r="D257" s="84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50"/>
      <c r="B258" s="88"/>
      <c r="C258" s="90"/>
      <c r="D258" s="84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50"/>
      <c r="B259" s="88"/>
      <c r="C259" s="90"/>
      <c r="D259" s="84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50"/>
      <c r="B260" s="88"/>
      <c r="C260" s="90"/>
      <c r="D260" s="84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50"/>
      <c r="B261" s="88"/>
      <c r="C261" s="90"/>
      <c r="D261" s="84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50"/>
      <c r="B262" s="88"/>
      <c r="C262" s="90"/>
      <c r="D262" s="84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50"/>
      <c r="B263" s="88"/>
      <c r="C263" s="90"/>
      <c r="D263" s="84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50"/>
      <c r="B264" s="88"/>
      <c r="C264" s="90"/>
      <c r="D264" s="84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50"/>
      <c r="B265" s="88"/>
      <c r="C265" s="90"/>
      <c r="D265" s="84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50"/>
      <c r="B266" s="88"/>
      <c r="C266" s="90"/>
      <c r="D266" s="84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50"/>
      <c r="B267" s="88"/>
      <c r="C267" s="90"/>
      <c r="D267" s="84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50"/>
      <c r="B268" s="88"/>
      <c r="C268" s="90"/>
      <c r="D268" s="84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50"/>
      <c r="B269" s="88"/>
      <c r="C269" s="90"/>
      <c r="D269" s="84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50"/>
      <c r="B270" s="88"/>
      <c r="C270" s="90"/>
      <c r="D270" s="84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50"/>
      <c r="B271" s="88"/>
      <c r="C271" s="90"/>
      <c r="D271" s="84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50"/>
      <c r="B272" s="88"/>
      <c r="C272" s="90"/>
      <c r="D272" s="84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50"/>
      <c r="B273" s="88"/>
      <c r="C273" s="90"/>
      <c r="D273" s="84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50"/>
      <c r="B274" s="88"/>
      <c r="C274" s="90"/>
      <c r="D274" s="84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50"/>
      <c r="B275" s="88"/>
      <c r="C275" s="90"/>
      <c r="D275" s="84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50"/>
      <c r="B276" s="88"/>
      <c r="C276" s="90"/>
      <c r="D276" s="84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50"/>
      <c r="B277" s="88"/>
      <c r="C277" s="90"/>
      <c r="D277" s="84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50"/>
      <c r="B278" s="88"/>
      <c r="C278" s="90"/>
      <c r="D278" s="84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50"/>
      <c r="B279" s="88"/>
      <c r="C279" s="90"/>
      <c r="D279" s="84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50"/>
      <c r="B280" s="88"/>
      <c r="C280" s="90"/>
      <c r="D280" s="84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50"/>
      <c r="B281" s="88"/>
      <c r="C281" s="90"/>
      <c r="D281" s="84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50"/>
      <c r="B282" s="88"/>
      <c r="C282" s="90"/>
      <c r="D282" s="84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50"/>
      <c r="B283" s="88"/>
      <c r="C283" s="90"/>
      <c r="D283" s="84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50"/>
      <c r="B284" s="88"/>
      <c r="C284" s="90"/>
      <c r="D284" s="84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50"/>
      <c r="B285" s="88"/>
      <c r="C285" s="90"/>
      <c r="D285" s="84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50"/>
      <c r="B286" s="88"/>
      <c r="C286" s="90"/>
      <c r="D286" s="84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50"/>
      <c r="B287" s="88"/>
      <c r="C287" s="90"/>
      <c r="D287" s="84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50"/>
      <c r="B288" s="88"/>
      <c r="C288" s="90"/>
      <c r="D288" s="84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50"/>
      <c r="B289" s="88"/>
      <c r="C289" s="90"/>
      <c r="D289" s="84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50"/>
      <c r="B290" s="88"/>
      <c r="C290" s="90"/>
      <c r="D290" s="84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50"/>
      <c r="B291" s="88"/>
      <c r="C291" s="90"/>
      <c r="D291" s="84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50"/>
      <c r="B292" s="88"/>
      <c r="C292" s="90"/>
      <c r="D292" s="84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50"/>
      <c r="B293" s="88"/>
      <c r="C293" s="90"/>
      <c r="D293" s="84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50"/>
      <c r="B294" s="88"/>
      <c r="C294" s="90"/>
      <c r="D294" s="84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50"/>
      <c r="B295" s="88"/>
      <c r="C295" s="90"/>
      <c r="D295" s="84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50"/>
      <c r="B296" s="88"/>
      <c r="C296" s="90"/>
      <c r="D296" s="84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50"/>
      <c r="B297" s="88"/>
      <c r="C297" s="90"/>
      <c r="D297" s="84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50"/>
      <c r="B298" s="88"/>
      <c r="C298" s="90"/>
      <c r="D298" s="84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50"/>
      <c r="B299" s="88"/>
      <c r="C299" s="90"/>
      <c r="D299" s="84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50"/>
      <c r="B300" s="88"/>
      <c r="C300" s="90"/>
      <c r="D300" s="84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50"/>
      <c r="B301" s="88"/>
      <c r="C301" s="90"/>
      <c r="D301" s="84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50"/>
      <c r="B302" s="88"/>
      <c r="C302" s="90"/>
      <c r="D302" s="84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50"/>
      <c r="B303" s="88"/>
      <c r="C303" s="90"/>
      <c r="D303" s="84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50"/>
      <c r="B304" s="88"/>
      <c r="C304" s="90"/>
      <c r="D304" s="84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50"/>
      <c r="B305" s="88"/>
      <c r="C305" s="90"/>
      <c r="D305" s="84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50"/>
      <c r="B306" s="88"/>
      <c r="C306" s="90"/>
      <c r="D306" s="84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50"/>
      <c r="B307" s="88"/>
      <c r="C307" s="90"/>
      <c r="D307" s="84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50"/>
      <c r="B308" s="88"/>
      <c r="C308" s="90"/>
      <c r="D308" s="84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50"/>
      <c r="B309" s="88"/>
      <c r="C309" s="90"/>
      <c r="D309" s="84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50"/>
      <c r="B310" s="88"/>
      <c r="C310" s="90"/>
      <c r="D310" s="84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50"/>
      <c r="B311" s="88"/>
      <c r="C311" s="90"/>
      <c r="D311" s="84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50"/>
      <c r="B312" s="88"/>
      <c r="C312" s="90"/>
      <c r="D312" s="84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50"/>
      <c r="B313" s="88"/>
      <c r="C313" s="90"/>
      <c r="D313" s="84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50"/>
      <c r="B314" s="88"/>
      <c r="C314" s="90"/>
      <c r="D314" s="84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50"/>
      <c r="B315" s="88"/>
      <c r="C315" s="90"/>
      <c r="D315" s="84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50"/>
      <c r="B316" s="88"/>
      <c r="C316" s="90"/>
      <c r="D316" s="84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50"/>
      <c r="B317" s="88"/>
      <c r="C317" s="90"/>
      <c r="D317" s="84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50"/>
      <c r="B318" s="88"/>
      <c r="C318" s="90"/>
      <c r="D318" s="84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50"/>
      <c r="B319" s="88"/>
      <c r="C319" s="90"/>
      <c r="D319" s="84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50"/>
      <c r="B320" s="88"/>
      <c r="C320" s="90"/>
      <c r="D320" s="84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50"/>
      <c r="B321" s="88"/>
      <c r="C321" s="90"/>
      <c r="D321" s="84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50"/>
      <c r="B322" s="88"/>
      <c r="C322" s="90"/>
      <c r="D322" s="84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50"/>
      <c r="B323" s="88"/>
      <c r="C323" s="90"/>
      <c r="D323" s="84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50"/>
      <c r="B324" s="88"/>
      <c r="C324" s="90"/>
      <c r="D324" s="84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50"/>
      <c r="B325" s="88"/>
      <c r="C325" s="90"/>
      <c r="D325" s="84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50"/>
      <c r="B326" s="88"/>
      <c r="C326" s="90"/>
      <c r="D326" s="84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50"/>
      <c r="B327" s="88"/>
      <c r="C327" s="90"/>
      <c r="D327" s="84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50"/>
      <c r="B328" s="88"/>
      <c r="C328" s="90"/>
      <c r="D328" s="84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50"/>
      <c r="B329" s="88"/>
      <c r="C329" s="90"/>
      <c r="D329" s="84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50"/>
      <c r="B330" s="88"/>
      <c r="C330" s="90"/>
      <c r="D330" s="84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50"/>
      <c r="B331" s="88"/>
      <c r="C331" s="90"/>
      <c r="D331" s="84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50"/>
      <c r="B332" s="88"/>
      <c r="C332" s="90"/>
      <c r="D332" s="84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50"/>
      <c r="B333" s="88"/>
      <c r="C333" s="90"/>
      <c r="D333" s="84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50"/>
      <c r="B334" s="88"/>
      <c r="C334" s="90"/>
      <c r="D334" s="84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50"/>
      <c r="B335" s="88"/>
      <c r="C335" s="90"/>
      <c r="D335" s="84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50"/>
      <c r="B336" s="88"/>
      <c r="C336" s="90"/>
      <c r="D336" s="84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50"/>
      <c r="B337" s="88"/>
      <c r="C337" s="90"/>
      <c r="D337" s="84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50"/>
      <c r="B338" s="88"/>
      <c r="C338" s="90"/>
      <c r="D338" s="84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50"/>
      <c r="B339" s="88"/>
      <c r="C339" s="90"/>
      <c r="D339" s="84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50"/>
      <c r="B340" s="88"/>
      <c r="C340" s="90"/>
      <c r="D340" s="84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50"/>
      <c r="B341" s="88"/>
      <c r="C341" s="90"/>
      <c r="D341" s="84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50"/>
      <c r="B342" s="88"/>
      <c r="C342" s="90"/>
      <c r="D342" s="84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50"/>
      <c r="B343" s="88"/>
      <c r="C343" s="90"/>
      <c r="D343" s="84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50"/>
      <c r="B344" s="88"/>
      <c r="C344" s="90"/>
      <c r="D344" s="84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50"/>
      <c r="B345" s="88"/>
      <c r="C345" s="90"/>
      <c r="D345" s="84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50"/>
      <c r="B346" s="88"/>
      <c r="C346" s="90"/>
      <c r="D346" s="84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50"/>
      <c r="B347" s="88"/>
      <c r="C347" s="90"/>
      <c r="D347" s="84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50"/>
      <c r="B348" s="88"/>
      <c r="C348" s="90"/>
      <c r="D348" s="84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50"/>
      <c r="B349" s="88"/>
      <c r="C349" s="90"/>
      <c r="D349" s="84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50"/>
      <c r="B350" s="88"/>
      <c r="C350" s="90"/>
      <c r="D350" s="84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50"/>
      <c r="B351" s="88"/>
      <c r="C351" s="90"/>
      <c r="D351" s="84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50"/>
      <c r="B352" s="88"/>
      <c r="C352" s="90"/>
      <c r="D352" s="84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50"/>
      <c r="B353" s="88"/>
      <c r="C353" s="90"/>
      <c r="D353" s="84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50"/>
      <c r="B354" s="88"/>
      <c r="C354" s="90"/>
      <c r="D354" s="84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50"/>
      <c r="B355" s="88"/>
      <c r="C355" s="90"/>
      <c r="D355" s="84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50"/>
      <c r="B356" s="88"/>
      <c r="C356" s="90"/>
      <c r="D356" s="84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50"/>
      <c r="B357" s="88"/>
      <c r="C357" s="90"/>
      <c r="D357" s="84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50"/>
      <c r="B358" s="88"/>
      <c r="C358" s="90"/>
      <c r="D358" s="84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50"/>
      <c r="B359" s="88"/>
      <c r="C359" s="90"/>
      <c r="D359" s="84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50"/>
      <c r="B360" s="88"/>
      <c r="C360" s="90"/>
      <c r="D360" s="84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50"/>
      <c r="B361" s="88"/>
      <c r="C361" s="90"/>
      <c r="D361" s="84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50"/>
      <c r="B362" s="88"/>
      <c r="C362" s="90"/>
      <c r="D362" s="84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50"/>
      <c r="B363" s="88"/>
      <c r="C363" s="90"/>
      <c r="D363" s="84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50"/>
      <c r="B364" s="88"/>
      <c r="C364" s="90"/>
      <c r="D364" s="84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50"/>
      <c r="B365" s="88"/>
      <c r="C365" s="90"/>
      <c r="D365" s="84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50"/>
      <c r="B366" s="88"/>
      <c r="C366" s="90"/>
      <c r="D366" s="84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50"/>
      <c r="B367" s="88"/>
      <c r="C367" s="90"/>
      <c r="D367" s="84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50"/>
      <c r="B368" s="88"/>
      <c r="C368" s="90"/>
      <c r="D368" s="84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50"/>
      <c r="B369" s="88"/>
      <c r="C369" s="90"/>
      <c r="D369" s="84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50"/>
      <c r="B370" s="88"/>
      <c r="C370" s="90"/>
      <c r="D370" s="84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50"/>
      <c r="B371" s="88"/>
      <c r="C371" s="90"/>
      <c r="D371" s="84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50"/>
      <c r="B372" s="88"/>
      <c r="C372" s="90"/>
      <c r="D372" s="84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50"/>
      <c r="B373" s="88"/>
      <c r="C373" s="90"/>
      <c r="D373" s="84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50"/>
      <c r="B374" s="88"/>
      <c r="C374" s="90"/>
      <c r="D374" s="84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50"/>
      <c r="B375" s="88"/>
      <c r="C375" s="90"/>
      <c r="D375" s="84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50"/>
      <c r="B376" s="88"/>
      <c r="C376" s="90"/>
      <c r="D376" s="84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50"/>
      <c r="B377" s="88"/>
      <c r="C377" s="90"/>
      <c r="D377" s="84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50"/>
      <c r="B378" s="88"/>
      <c r="C378" s="90"/>
      <c r="D378" s="84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50"/>
      <c r="B379" s="88"/>
      <c r="C379" s="90"/>
      <c r="D379" s="84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50"/>
      <c r="B380" s="88"/>
      <c r="C380" s="90"/>
      <c r="D380" s="84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50"/>
      <c r="B381" s="88"/>
      <c r="C381" s="90"/>
      <c r="D381" s="84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50"/>
      <c r="B382" s="88"/>
      <c r="C382" s="90"/>
      <c r="D382" s="84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50"/>
      <c r="B383" s="88"/>
      <c r="C383" s="90"/>
      <c r="D383" s="84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50"/>
      <c r="B384" s="88"/>
      <c r="C384" s="90"/>
      <c r="D384" s="84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50"/>
      <c r="B385" s="88"/>
      <c r="C385" s="90"/>
      <c r="D385" s="84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50"/>
      <c r="B386" s="88"/>
      <c r="C386" s="90"/>
      <c r="D386" s="84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50"/>
      <c r="B387" s="88"/>
      <c r="C387" s="90"/>
      <c r="D387" s="84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50"/>
      <c r="B388" s="88"/>
      <c r="C388" s="90"/>
      <c r="D388" s="84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50"/>
      <c r="B389" s="88"/>
      <c r="C389" s="90"/>
      <c r="D389" s="84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50"/>
      <c r="B390" s="88"/>
      <c r="C390" s="90"/>
      <c r="D390" s="84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50"/>
      <c r="B391" s="88"/>
      <c r="C391" s="90"/>
      <c r="D391" s="84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50"/>
      <c r="B392" s="88"/>
      <c r="C392" s="90"/>
      <c r="D392" s="84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50"/>
      <c r="B393" s="88"/>
      <c r="C393" s="90"/>
      <c r="D393" s="84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50"/>
      <c r="B394" s="88"/>
      <c r="C394" s="90"/>
      <c r="D394" s="84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50"/>
      <c r="B395" s="88"/>
      <c r="C395" s="90"/>
      <c r="D395" s="84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50"/>
      <c r="B396" s="88"/>
      <c r="C396" s="90"/>
      <c r="D396" s="84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50"/>
      <c r="B397" s="88"/>
      <c r="C397" s="90"/>
      <c r="D397" s="84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50"/>
      <c r="B398" s="88"/>
      <c r="C398" s="90"/>
      <c r="D398" s="84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50"/>
      <c r="B399" s="88"/>
      <c r="C399" s="90"/>
      <c r="D399" s="84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50"/>
      <c r="B400" s="88"/>
      <c r="C400" s="90"/>
      <c r="D400" s="84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50"/>
      <c r="B401" s="88"/>
      <c r="C401" s="90"/>
      <c r="D401" s="84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50"/>
      <c r="B402" s="88"/>
      <c r="C402" s="90"/>
      <c r="D402" s="84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50"/>
      <c r="B403" s="88"/>
      <c r="C403" s="90"/>
      <c r="D403" s="84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50"/>
      <c r="B404" s="88"/>
      <c r="C404" s="90"/>
      <c r="D404" s="84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50"/>
      <c r="B405" s="88"/>
      <c r="C405" s="90"/>
      <c r="D405" s="84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50"/>
      <c r="B406" s="88"/>
      <c r="C406" s="90"/>
      <c r="D406" s="84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50"/>
      <c r="B407" s="88"/>
      <c r="C407" s="90"/>
      <c r="D407" s="84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50"/>
      <c r="B408" s="88"/>
      <c r="C408" s="90"/>
      <c r="D408" s="84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50"/>
      <c r="B409" s="88"/>
      <c r="C409" s="90"/>
      <c r="D409" s="84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50"/>
      <c r="B410" s="88"/>
      <c r="C410" s="90"/>
      <c r="D410" s="84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50"/>
      <c r="B411" s="88"/>
      <c r="C411" s="90"/>
      <c r="D411" s="84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50"/>
      <c r="B412" s="88"/>
      <c r="C412" s="90"/>
      <c r="D412" s="84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50"/>
      <c r="B413" s="88"/>
      <c r="C413" s="90"/>
      <c r="D413" s="84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50"/>
      <c r="B414" s="88"/>
      <c r="C414" s="90"/>
      <c r="D414" s="84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50"/>
      <c r="B415" s="88"/>
      <c r="C415" s="90"/>
      <c r="D415" s="84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50"/>
      <c r="B416" s="88"/>
      <c r="C416" s="90"/>
      <c r="D416" s="84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50"/>
      <c r="B417" s="88"/>
      <c r="C417" s="90"/>
      <c r="D417" s="84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50"/>
      <c r="B418" s="88"/>
      <c r="C418" s="90"/>
      <c r="D418" s="84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50"/>
      <c r="B419" s="88"/>
      <c r="C419" s="90"/>
      <c r="D419" s="84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50"/>
      <c r="B420" s="88"/>
      <c r="C420" s="90"/>
      <c r="D420" s="84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50"/>
      <c r="B421" s="88"/>
      <c r="C421" s="90"/>
      <c r="D421" s="84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50"/>
      <c r="B422" s="88"/>
      <c r="C422" s="90"/>
      <c r="D422" s="84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50"/>
      <c r="B423" s="88"/>
      <c r="C423" s="90"/>
      <c r="D423" s="84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50"/>
      <c r="B424" s="88"/>
      <c r="C424" s="90"/>
      <c r="D424" s="84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50"/>
      <c r="B425" s="88"/>
      <c r="C425" s="90"/>
      <c r="D425" s="84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50"/>
      <c r="B426" s="88"/>
      <c r="C426" s="90"/>
      <c r="D426" s="84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50"/>
      <c r="B427" s="88"/>
      <c r="C427" s="90"/>
      <c r="D427" s="84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50"/>
      <c r="B428" s="88"/>
      <c r="C428" s="90"/>
      <c r="D428" s="84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50"/>
      <c r="B429" s="88"/>
      <c r="C429" s="90"/>
      <c r="D429" s="84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50"/>
      <c r="B430" s="88"/>
      <c r="C430" s="90"/>
      <c r="D430" s="84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50"/>
      <c r="B431" s="88"/>
      <c r="C431" s="90"/>
      <c r="D431" s="84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50"/>
      <c r="B432" s="88"/>
      <c r="C432" s="90"/>
      <c r="D432" s="84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50"/>
      <c r="B433" s="88"/>
      <c r="C433" s="90"/>
      <c r="D433" s="84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50"/>
      <c r="B434" s="88"/>
      <c r="C434" s="90"/>
      <c r="D434" s="84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50"/>
      <c r="B435" s="88"/>
      <c r="C435" s="90"/>
      <c r="D435" s="84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50"/>
      <c r="B436" s="88"/>
      <c r="C436" s="90"/>
      <c r="D436" s="84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50"/>
      <c r="B437" s="88"/>
      <c r="C437" s="90"/>
      <c r="D437" s="84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50"/>
      <c r="B438" s="88"/>
      <c r="C438" s="90"/>
      <c r="D438" s="84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50"/>
      <c r="B439" s="88"/>
      <c r="C439" s="90"/>
      <c r="D439" s="84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50"/>
      <c r="B440" s="88"/>
      <c r="C440" s="90"/>
      <c r="D440" s="84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50"/>
      <c r="B441" s="88"/>
      <c r="C441" s="90"/>
      <c r="D441" s="84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50"/>
      <c r="B442" s="88"/>
      <c r="C442" s="90"/>
      <c r="D442" s="84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50"/>
      <c r="B443" s="88"/>
      <c r="C443" s="90"/>
      <c r="D443" s="84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50"/>
      <c r="B444" s="88"/>
      <c r="C444" s="90"/>
      <c r="D444" s="84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50"/>
      <c r="B445" s="88"/>
      <c r="C445" s="90"/>
      <c r="D445" s="84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50"/>
      <c r="B446" s="88"/>
      <c r="C446" s="90"/>
      <c r="D446" s="84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50"/>
      <c r="B447" s="88"/>
      <c r="C447" s="90"/>
      <c r="D447" s="84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50"/>
      <c r="B448" s="88"/>
      <c r="C448" s="90"/>
      <c r="D448" s="84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50"/>
      <c r="B449" s="88"/>
      <c r="C449" s="90"/>
      <c r="D449" s="84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50"/>
      <c r="B450" s="88"/>
      <c r="C450" s="90"/>
      <c r="D450" s="84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50"/>
      <c r="B451" s="88"/>
      <c r="C451" s="90"/>
      <c r="D451" s="84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50"/>
      <c r="B452" s="88"/>
      <c r="C452" s="90"/>
      <c r="D452" s="84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50"/>
      <c r="B453" s="88"/>
      <c r="C453" s="90"/>
      <c r="D453" s="84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50"/>
      <c r="B454" s="88"/>
      <c r="C454" s="90"/>
      <c r="D454" s="84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50"/>
      <c r="B455" s="88"/>
      <c r="C455" s="90"/>
      <c r="D455" s="84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50"/>
      <c r="B456" s="88"/>
      <c r="C456" s="90"/>
      <c r="D456" s="84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50"/>
      <c r="B457" s="88"/>
      <c r="C457" s="90"/>
      <c r="D457" s="84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50"/>
      <c r="B458" s="88"/>
      <c r="C458" s="90"/>
      <c r="D458" s="84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50"/>
      <c r="B459" s="88"/>
      <c r="C459" s="90"/>
      <c r="D459" s="84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50"/>
      <c r="B460" s="88"/>
      <c r="C460" s="90"/>
      <c r="D460" s="84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50"/>
      <c r="B461" s="88"/>
      <c r="C461" s="90"/>
      <c r="D461" s="84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50"/>
      <c r="B462" s="88"/>
      <c r="C462" s="90"/>
      <c r="D462" s="84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50"/>
      <c r="B463" s="88"/>
      <c r="C463" s="90"/>
      <c r="D463" s="84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50"/>
      <c r="B464" s="88"/>
      <c r="C464" s="90"/>
      <c r="D464" s="84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50"/>
      <c r="B465" s="88"/>
      <c r="C465" s="90"/>
      <c r="D465" s="84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50"/>
      <c r="B466" s="88"/>
      <c r="C466" s="90"/>
      <c r="D466" s="84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50"/>
      <c r="B467" s="88"/>
      <c r="C467" s="90"/>
      <c r="D467" s="84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50"/>
      <c r="B468" s="88"/>
      <c r="C468" s="90"/>
      <c r="D468" s="84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50"/>
      <c r="B469" s="88"/>
      <c r="C469" s="90"/>
      <c r="D469" s="84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50"/>
      <c r="B470" s="88"/>
      <c r="C470" s="90"/>
      <c r="D470" s="84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50"/>
      <c r="B471" s="88"/>
      <c r="C471" s="90"/>
      <c r="D471" s="84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50"/>
      <c r="B472" s="88"/>
      <c r="C472" s="90"/>
      <c r="D472" s="84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50"/>
      <c r="B473" s="88"/>
      <c r="C473" s="90"/>
      <c r="D473" s="84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50"/>
      <c r="B474" s="88"/>
      <c r="C474" s="90"/>
      <c r="D474" s="84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50"/>
      <c r="B475" s="88"/>
      <c r="C475" s="90"/>
      <c r="D475" s="84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50"/>
      <c r="B476" s="88"/>
      <c r="C476" s="90"/>
      <c r="D476" s="84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50"/>
      <c r="B477" s="88"/>
      <c r="C477" s="90"/>
      <c r="D477" s="84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50"/>
      <c r="B478" s="88"/>
      <c r="C478" s="90"/>
      <c r="D478" s="84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50"/>
      <c r="B479" s="88"/>
      <c r="C479" s="90"/>
      <c r="D479" s="84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50"/>
      <c r="B480" s="88"/>
      <c r="C480" s="90"/>
      <c r="D480" s="84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50"/>
      <c r="B481" s="88"/>
      <c r="C481" s="90"/>
      <c r="D481" s="84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50"/>
      <c r="B482" s="88"/>
      <c r="C482" s="90"/>
      <c r="D482" s="84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50"/>
      <c r="B483" s="88"/>
      <c r="C483" s="90"/>
      <c r="D483" s="84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50"/>
      <c r="B484" s="88"/>
      <c r="C484" s="90"/>
      <c r="D484" s="84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50"/>
      <c r="B485" s="88"/>
      <c r="C485" s="90"/>
      <c r="D485" s="84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50"/>
      <c r="B486" s="88"/>
      <c r="C486" s="90"/>
      <c r="D486" s="84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50"/>
      <c r="B487" s="88"/>
      <c r="C487" s="90"/>
      <c r="D487" s="84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50"/>
      <c r="B488" s="88"/>
      <c r="C488" s="90"/>
      <c r="D488" s="84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50"/>
      <c r="B489" s="88"/>
      <c r="C489" s="90"/>
      <c r="D489" s="84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50"/>
      <c r="B490" s="88"/>
      <c r="C490" s="90"/>
      <c r="D490" s="84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50"/>
      <c r="B491" s="88"/>
      <c r="C491" s="90"/>
      <c r="D491" s="84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50"/>
      <c r="B492" s="88"/>
      <c r="C492" s="90"/>
      <c r="D492" s="84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50"/>
      <c r="B493" s="88"/>
      <c r="C493" s="90"/>
      <c r="D493" s="84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50"/>
      <c r="B494" s="88"/>
      <c r="C494" s="90"/>
      <c r="D494" s="84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50"/>
      <c r="B495" s="88"/>
      <c r="C495" s="90"/>
      <c r="D495" s="84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50"/>
      <c r="B496" s="88"/>
      <c r="C496" s="90"/>
      <c r="D496" s="84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50"/>
      <c r="B497" s="88"/>
      <c r="C497" s="90"/>
      <c r="D497" s="84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50"/>
      <c r="B498" s="88"/>
      <c r="C498" s="90"/>
      <c r="D498" s="84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50"/>
      <c r="B499" s="88"/>
      <c r="C499" s="90"/>
      <c r="D499" s="84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50"/>
      <c r="B500" s="88"/>
      <c r="C500" s="90"/>
      <c r="D500" s="84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50"/>
      <c r="B501" s="88"/>
      <c r="C501" s="90"/>
      <c r="D501" s="84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50"/>
      <c r="B502" s="88"/>
      <c r="C502" s="90"/>
      <c r="D502" s="84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50"/>
      <c r="B503" s="88"/>
      <c r="C503" s="90"/>
      <c r="D503" s="84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50"/>
      <c r="B504" s="88"/>
      <c r="C504" s="90"/>
      <c r="D504" s="84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50"/>
      <c r="B505" s="88"/>
      <c r="C505" s="90"/>
      <c r="D505" s="84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50"/>
      <c r="B506" s="88"/>
      <c r="C506" s="90"/>
      <c r="D506" s="84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50"/>
      <c r="B507" s="88"/>
      <c r="C507" s="90"/>
      <c r="D507" s="84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50"/>
      <c r="B508" s="88"/>
      <c r="C508" s="90"/>
      <c r="D508" s="84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50"/>
      <c r="B509" s="88"/>
      <c r="C509" s="90"/>
      <c r="D509" s="84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50"/>
      <c r="B510" s="88"/>
      <c r="C510" s="90"/>
      <c r="D510" s="84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50"/>
      <c r="B511" s="88"/>
      <c r="C511" s="90"/>
      <c r="D511" s="84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50"/>
      <c r="B512" s="88"/>
      <c r="C512" s="90"/>
      <c r="D512" s="84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50"/>
      <c r="B513" s="88"/>
      <c r="C513" s="90"/>
      <c r="D513" s="84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50"/>
      <c r="B514" s="88"/>
      <c r="C514" s="90"/>
      <c r="D514" s="84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50"/>
      <c r="B515" s="88"/>
      <c r="C515" s="90"/>
      <c r="D515" s="84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50"/>
      <c r="B516" s="88"/>
      <c r="C516" s="90"/>
      <c r="D516" s="84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50"/>
      <c r="B517" s="88"/>
      <c r="C517" s="90"/>
      <c r="D517" s="84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50"/>
      <c r="B518" s="88"/>
      <c r="C518" s="90"/>
      <c r="D518" s="84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50"/>
      <c r="B519" s="88"/>
      <c r="C519" s="90"/>
      <c r="D519" s="84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50"/>
      <c r="B520" s="88"/>
      <c r="C520" s="90"/>
      <c r="D520" s="84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50"/>
      <c r="B521" s="88"/>
      <c r="C521" s="90"/>
      <c r="D521" s="84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50"/>
      <c r="B522" s="88"/>
      <c r="C522" s="90"/>
      <c r="D522" s="84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50"/>
      <c r="B523" s="88"/>
      <c r="C523" s="90"/>
      <c r="D523" s="84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50"/>
      <c r="B524" s="88"/>
      <c r="C524" s="90"/>
      <c r="D524" s="84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50"/>
      <c r="B525" s="88"/>
      <c r="C525" s="90"/>
      <c r="D525" s="84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50"/>
      <c r="B526" s="88"/>
      <c r="C526" s="90"/>
      <c r="D526" s="84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50"/>
      <c r="B527" s="88"/>
      <c r="C527" s="90"/>
      <c r="D527" s="84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50"/>
      <c r="B528" s="88"/>
      <c r="C528" s="90"/>
      <c r="D528" s="84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50"/>
      <c r="B529" s="88"/>
      <c r="C529" s="90"/>
      <c r="D529" s="84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50"/>
      <c r="B530" s="88"/>
      <c r="C530" s="90"/>
      <c r="D530" s="84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50"/>
      <c r="B531" s="88"/>
      <c r="C531" s="90"/>
      <c r="D531" s="84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50"/>
      <c r="B532" s="88"/>
      <c r="C532" s="90"/>
      <c r="D532" s="84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50"/>
      <c r="B533" s="88"/>
      <c r="C533" s="90"/>
      <c r="D533" s="84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50"/>
      <c r="B534" s="88"/>
      <c r="C534" s="90"/>
      <c r="D534" s="84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50"/>
      <c r="B535" s="88"/>
      <c r="C535" s="90"/>
      <c r="D535" s="84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50"/>
      <c r="B536" s="88"/>
      <c r="C536" s="90"/>
      <c r="D536" s="84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50"/>
      <c r="B537" s="88"/>
      <c r="C537" s="90"/>
      <c r="D537" s="84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50"/>
      <c r="B538" s="88"/>
      <c r="C538" s="90"/>
      <c r="D538" s="84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50"/>
      <c r="B539" s="88"/>
      <c r="C539" s="90"/>
      <c r="D539" s="84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50"/>
      <c r="B540" s="88"/>
      <c r="C540" s="90"/>
      <c r="D540" s="84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50"/>
      <c r="B541" s="88"/>
      <c r="C541" s="90"/>
      <c r="D541" s="84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50"/>
      <c r="B542" s="88"/>
      <c r="C542" s="90"/>
      <c r="D542" s="84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50"/>
      <c r="B543" s="88"/>
      <c r="C543" s="90"/>
      <c r="D543" s="84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50"/>
      <c r="B544" s="88"/>
      <c r="C544" s="90"/>
      <c r="D544" s="84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50"/>
      <c r="B545" s="88"/>
      <c r="C545" s="90"/>
      <c r="D545" s="84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50"/>
      <c r="B546" s="88"/>
      <c r="C546" s="90"/>
      <c r="D546" s="84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50"/>
      <c r="B547" s="88"/>
      <c r="C547" s="90"/>
      <c r="D547" s="84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50"/>
      <c r="B548" s="88"/>
      <c r="C548" s="90"/>
      <c r="D548" s="84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50"/>
      <c r="B549" s="88"/>
      <c r="C549" s="90"/>
      <c r="D549" s="84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50"/>
      <c r="B550" s="88"/>
      <c r="C550" s="90"/>
      <c r="D550" s="84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50"/>
      <c r="B551" s="88"/>
      <c r="C551" s="90"/>
      <c r="D551" s="84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50"/>
      <c r="B552" s="88"/>
      <c r="C552" s="90"/>
      <c r="D552" s="84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50"/>
      <c r="B553" s="88"/>
      <c r="C553" s="90"/>
      <c r="D553" s="84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50"/>
      <c r="B554" s="88"/>
      <c r="C554" s="90"/>
      <c r="D554" s="84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50"/>
      <c r="B555" s="88"/>
      <c r="C555" s="90"/>
      <c r="D555" s="84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50"/>
      <c r="B556" s="88"/>
      <c r="C556" s="90"/>
      <c r="D556" s="84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50"/>
      <c r="B557" s="88"/>
      <c r="C557" s="90"/>
      <c r="D557" s="84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50"/>
      <c r="B558" s="88"/>
      <c r="C558" s="90"/>
      <c r="D558" s="84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50"/>
      <c r="B559" s="88"/>
      <c r="C559" s="90"/>
      <c r="D559" s="84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50"/>
      <c r="B560" s="88"/>
      <c r="C560" s="90"/>
      <c r="D560" s="84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50"/>
      <c r="B561" s="88"/>
      <c r="C561" s="90"/>
      <c r="D561" s="84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50"/>
      <c r="B562" s="88"/>
      <c r="C562" s="90"/>
      <c r="D562" s="84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50"/>
      <c r="B563" s="88"/>
      <c r="C563" s="90"/>
      <c r="D563" s="84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50"/>
      <c r="B564" s="88"/>
      <c r="C564" s="90"/>
      <c r="D564" s="84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50"/>
      <c r="B565" s="88"/>
      <c r="C565" s="90"/>
      <c r="D565" s="84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50"/>
      <c r="B566" s="88"/>
      <c r="C566" s="90"/>
      <c r="D566" s="84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50"/>
      <c r="B567" s="88"/>
      <c r="C567" s="90"/>
      <c r="D567" s="84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50"/>
      <c r="B568" s="88"/>
      <c r="C568" s="90"/>
      <c r="D568" s="84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50"/>
      <c r="B569" s="88"/>
      <c r="C569" s="90"/>
      <c r="D569" s="84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50"/>
      <c r="B570" s="88"/>
      <c r="C570" s="90"/>
      <c r="D570" s="84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50"/>
      <c r="B571" s="88"/>
      <c r="C571" s="90"/>
      <c r="D571" s="84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50"/>
      <c r="B572" s="88"/>
      <c r="C572" s="90"/>
      <c r="D572" s="84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50"/>
      <c r="B573" s="88"/>
      <c r="C573" s="90"/>
      <c r="D573" s="84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50"/>
      <c r="B574" s="88"/>
      <c r="C574" s="90"/>
      <c r="D574" s="84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50"/>
      <c r="B575" s="88"/>
      <c r="C575" s="90"/>
      <c r="D575" s="84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50"/>
      <c r="B576" s="88"/>
      <c r="C576" s="90"/>
      <c r="D576" s="84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50"/>
      <c r="B577" s="88"/>
      <c r="C577" s="90"/>
      <c r="D577" s="84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50"/>
      <c r="B578" s="88"/>
      <c r="C578" s="90"/>
      <c r="D578" s="84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50"/>
      <c r="B579" s="88"/>
      <c r="C579" s="90"/>
      <c r="D579" s="84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50"/>
      <c r="B580" s="88"/>
      <c r="C580" s="90"/>
      <c r="D580" s="84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50"/>
      <c r="B581" s="88"/>
      <c r="C581" s="90"/>
      <c r="D581" s="84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50"/>
      <c r="B582" s="88"/>
      <c r="C582" s="90"/>
      <c r="D582" s="84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50"/>
      <c r="B583" s="88"/>
      <c r="C583" s="90"/>
      <c r="D583" s="84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50"/>
      <c r="B584" s="88"/>
      <c r="C584" s="90"/>
      <c r="D584" s="84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50"/>
      <c r="B585" s="88"/>
      <c r="C585" s="90"/>
      <c r="D585" s="84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50"/>
      <c r="B586" s="88"/>
      <c r="C586" s="90"/>
      <c r="D586" s="84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50"/>
      <c r="B587" s="88"/>
      <c r="C587" s="90"/>
      <c r="D587" s="84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50"/>
      <c r="B588" s="88"/>
      <c r="C588" s="90"/>
      <c r="D588" s="84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50"/>
      <c r="B589" s="88"/>
      <c r="C589" s="90"/>
      <c r="D589" s="84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50"/>
      <c r="B590" s="88"/>
      <c r="C590" s="90"/>
      <c r="D590" s="84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50"/>
      <c r="B591" s="88"/>
      <c r="C591" s="90"/>
      <c r="D591" s="84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50"/>
      <c r="B592" s="88"/>
      <c r="C592" s="90"/>
      <c r="D592" s="84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50"/>
      <c r="B593" s="88"/>
      <c r="C593" s="90"/>
      <c r="D593" s="84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50"/>
      <c r="B594" s="88"/>
      <c r="C594" s="90"/>
      <c r="D594" s="84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50"/>
      <c r="B595" s="88"/>
      <c r="C595" s="90"/>
      <c r="D595" s="84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50"/>
      <c r="B596" s="88"/>
      <c r="C596" s="90"/>
      <c r="D596" s="84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50"/>
      <c r="B597" s="88"/>
      <c r="C597" s="90"/>
      <c r="D597" s="84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50"/>
      <c r="B598" s="88"/>
      <c r="C598" s="90"/>
      <c r="D598" s="84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50"/>
      <c r="B599" s="88"/>
      <c r="C599" s="90"/>
      <c r="D599" s="84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50"/>
      <c r="B600" s="88"/>
      <c r="C600" s="90"/>
      <c r="D600" s="84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50"/>
      <c r="B601" s="88"/>
      <c r="C601" s="90"/>
      <c r="D601" s="84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50"/>
      <c r="B602" s="88"/>
      <c r="C602" s="90"/>
      <c r="D602" s="84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50"/>
      <c r="B603" s="88"/>
      <c r="C603" s="90"/>
      <c r="D603" s="84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50"/>
      <c r="B604" s="88"/>
      <c r="C604" s="90"/>
      <c r="D604" s="84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50"/>
      <c r="B605" s="88"/>
      <c r="C605" s="90"/>
      <c r="D605" s="84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50"/>
      <c r="B606" s="88"/>
      <c r="C606" s="90"/>
      <c r="D606" s="84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50"/>
      <c r="B607" s="88"/>
      <c r="C607" s="90"/>
      <c r="D607" s="84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50"/>
      <c r="B608" s="88"/>
      <c r="C608" s="90"/>
      <c r="D608" s="84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50"/>
      <c r="B609" s="88"/>
      <c r="C609" s="90"/>
      <c r="D609" s="84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50"/>
      <c r="B610" s="88"/>
      <c r="C610" s="90"/>
      <c r="D610" s="84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50"/>
      <c r="B611" s="88"/>
      <c r="C611" s="90"/>
      <c r="D611" s="84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50"/>
      <c r="B612" s="88"/>
      <c r="C612" s="90"/>
      <c r="D612" s="84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50"/>
      <c r="B613" s="88"/>
      <c r="C613" s="90"/>
      <c r="D613" s="84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50"/>
      <c r="B614" s="88"/>
      <c r="C614" s="90"/>
      <c r="D614" s="84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50"/>
      <c r="B615" s="88"/>
      <c r="C615" s="90"/>
      <c r="D615" s="84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50"/>
      <c r="B616" s="88"/>
      <c r="C616" s="90"/>
      <c r="D616" s="84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50"/>
      <c r="B617" s="88"/>
      <c r="C617" s="90"/>
      <c r="D617" s="84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50"/>
      <c r="B618" s="88"/>
      <c r="C618" s="90"/>
      <c r="D618" s="84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50"/>
      <c r="B619" s="88"/>
      <c r="C619" s="90"/>
      <c r="D619" s="84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50"/>
      <c r="B620" s="88"/>
      <c r="C620" s="90"/>
      <c r="D620" s="84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50"/>
      <c r="B621" s="88"/>
      <c r="C621" s="90"/>
      <c r="D621" s="84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50"/>
      <c r="B622" s="88"/>
      <c r="C622" s="90"/>
      <c r="D622" s="84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50"/>
      <c r="B623" s="88"/>
      <c r="C623" s="90"/>
      <c r="D623" s="84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50"/>
      <c r="B624" s="88"/>
      <c r="C624" s="90"/>
      <c r="D624" s="84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50"/>
      <c r="B625" s="88"/>
      <c r="C625" s="90"/>
      <c r="D625" s="84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50"/>
      <c r="B626" s="88"/>
      <c r="C626" s="90"/>
      <c r="D626" s="84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50"/>
      <c r="B627" s="88"/>
      <c r="C627" s="90"/>
      <c r="D627" s="84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50"/>
      <c r="B628" s="88"/>
      <c r="C628" s="90"/>
      <c r="D628" s="84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50"/>
      <c r="B629" s="88"/>
      <c r="C629" s="90"/>
      <c r="D629" s="84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50"/>
      <c r="B630" s="88"/>
      <c r="C630" s="90"/>
      <c r="D630" s="84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50"/>
      <c r="B631" s="88"/>
      <c r="C631" s="90"/>
      <c r="D631" s="84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50"/>
      <c r="B632" s="88"/>
      <c r="C632" s="90"/>
      <c r="D632" s="84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50"/>
      <c r="B633" s="88"/>
      <c r="C633" s="90"/>
      <c r="D633" s="84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50"/>
      <c r="B634" s="88"/>
      <c r="C634" s="90"/>
      <c r="D634" s="84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50"/>
      <c r="B635" s="88"/>
      <c r="C635" s="90"/>
      <c r="D635" s="84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50"/>
      <c r="B636" s="88"/>
      <c r="C636" s="90"/>
      <c r="D636" s="84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50"/>
      <c r="B637" s="88"/>
      <c r="C637" s="90"/>
      <c r="D637" s="84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50"/>
      <c r="B638" s="88"/>
      <c r="C638" s="90"/>
      <c r="D638" s="84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50"/>
      <c r="B639" s="88"/>
      <c r="C639" s="90"/>
      <c r="D639" s="84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50"/>
      <c r="B640" s="88"/>
      <c r="C640" s="90"/>
      <c r="D640" s="84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50"/>
      <c r="B641" s="88"/>
      <c r="C641" s="90"/>
      <c r="D641" s="84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50"/>
      <c r="B642" s="88"/>
      <c r="C642" s="90"/>
      <c r="D642" s="84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50"/>
      <c r="B643" s="88"/>
      <c r="C643" s="90"/>
      <c r="D643" s="84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50"/>
      <c r="B644" s="88"/>
      <c r="C644" s="90"/>
      <c r="D644" s="84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50"/>
      <c r="B645" s="88"/>
      <c r="C645" s="90"/>
      <c r="D645" s="84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50"/>
      <c r="B646" s="88"/>
      <c r="C646" s="90"/>
      <c r="D646" s="84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50"/>
      <c r="B647" s="88"/>
      <c r="C647" s="90"/>
      <c r="D647" s="84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50"/>
      <c r="B648" s="88"/>
      <c r="C648" s="90"/>
      <c r="D648" s="84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50"/>
      <c r="B649" s="88"/>
      <c r="C649" s="90"/>
      <c r="D649" s="84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50"/>
      <c r="B650" s="88"/>
      <c r="C650" s="90"/>
      <c r="D650" s="84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50"/>
      <c r="B651" s="88"/>
      <c r="C651" s="90"/>
      <c r="D651" s="84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50"/>
      <c r="B652" s="88"/>
      <c r="C652" s="90"/>
      <c r="D652" s="84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50"/>
      <c r="B653" s="88"/>
      <c r="C653" s="90"/>
      <c r="D653" s="84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50"/>
      <c r="B654" s="88"/>
      <c r="C654" s="90"/>
      <c r="D654" s="84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50"/>
      <c r="B655" s="88"/>
      <c r="C655" s="90"/>
      <c r="D655" s="84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50"/>
      <c r="B656" s="88"/>
      <c r="C656" s="90"/>
      <c r="D656" s="84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50"/>
      <c r="B657" s="88"/>
      <c r="C657" s="90"/>
      <c r="D657" s="84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50"/>
      <c r="B658" s="88"/>
      <c r="C658" s="90"/>
      <c r="D658" s="84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50"/>
      <c r="B659" s="88"/>
      <c r="C659" s="90"/>
      <c r="D659" s="84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50"/>
      <c r="B660" s="88"/>
      <c r="C660" s="90"/>
      <c r="D660" s="84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50"/>
      <c r="B661" s="88"/>
      <c r="C661" s="90"/>
      <c r="D661" s="84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50"/>
      <c r="B662" s="88"/>
      <c r="C662" s="90"/>
      <c r="D662" s="84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50"/>
      <c r="B663" s="88"/>
      <c r="C663" s="90"/>
      <c r="D663" s="84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50"/>
      <c r="B664" s="88"/>
      <c r="C664" s="90"/>
      <c r="D664" s="84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50"/>
      <c r="B665" s="88"/>
      <c r="C665" s="90"/>
      <c r="D665" s="84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50"/>
      <c r="B666" s="88"/>
      <c r="C666" s="90"/>
      <c r="D666" s="84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50"/>
      <c r="B667" s="88"/>
      <c r="C667" s="90"/>
      <c r="D667" s="84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50"/>
      <c r="B668" s="88"/>
      <c r="C668" s="90"/>
      <c r="D668" s="84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50"/>
      <c r="B669" s="88"/>
      <c r="C669" s="90"/>
      <c r="D669" s="84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50"/>
      <c r="B670" s="88"/>
      <c r="C670" s="90"/>
      <c r="D670" s="84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50"/>
      <c r="B671" s="88"/>
      <c r="C671" s="90"/>
      <c r="D671" s="84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50"/>
      <c r="B672" s="88"/>
      <c r="C672" s="90"/>
      <c r="D672" s="84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50"/>
      <c r="B673" s="88"/>
      <c r="C673" s="90"/>
      <c r="D673" s="84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50"/>
      <c r="B674" s="88"/>
      <c r="C674" s="90"/>
      <c r="D674" s="84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50"/>
      <c r="B675" s="88"/>
      <c r="C675" s="90"/>
      <c r="D675" s="84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50"/>
      <c r="B676" s="88"/>
      <c r="C676" s="90"/>
      <c r="D676" s="84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50"/>
      <c r="B677" s="88"/>
      <c r="C677" s="90"/>
      <c r="D677" s="84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50"/>
      <c r="B678" s="88"/>
      <c r="C678" s="90"/>
      <c r="D678" s="84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50"/>
      <c r="B679" s="88"/>
      <c r="C679" s="90"/>
      <c r="D679" s="84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50"/>
      <c r="B680" s="88"/>
      <c r="C680" s="90"/>
      <c r="D680" s="84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50"/>
      <c r="B681" s="88"/>
      <c r="C681" s="90"/>
      <c r="D681" s="84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50"/>
      <c r="B682" s="88"/>
      <c r="C682" s="90"/>
      <c r="D682" s="84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50"/>
      <c r="B683" s="88"/>
      <c r="C683" s="90"/>
      <c r="D683" s="84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50"/>
      <c r="B684" s="88"/>
      <c r="C684" s="90"/>
      <c r="D684" s="84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50"/>
      <c r="B685" s="88"/>
      <c r="C685" s="90"/>
      <c r="D685" s="84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50"/>
      <c r="B686" s="88"/>
      <c r="C686" s="90"/>
      <c r="D686" s="84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50"/>
      <c r="B687" s="88"/>
      <c r="C687" s="90"/>
      <c r="D687" s="84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50"/>
      <c r="B688" s="88"/>
      <c r="C688" s="90"/>
      <c r="D688" s="84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50"/>
      <c r="B689" s="88"/>
      <c r="C689" s="90"/>
      <c r="D689" s="84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50"/>
      <c r="B690" s="88"/>
      <c r="C690" s="90"/>
      <c r="D690" s="84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50"/>
      <c r="B691" s="88"/>
      <c r="C691" s="90"/>
      <c r="D691" s="84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50"/>
      <c r="B692" s="88"/>
      <c r="C692" s="90"/>
      <c r="D692" s="84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50"/>
      <c r="B693" s="88"/>
      <c r="C693" s="90"/>
      <c r="D693" s="84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50"/>
      <c r="B694" s="88"/>
      <c r="C694" s="90"/>
      <c r="D694" s="84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50"/>
      <c r="B695" s="88"/>
      <c r="C695" s="90"/>
      <c r="D695" s="84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50"/>
      <c r="B696" s="88"/>
      <c r="C696" s="90"/>
      <c r="D696" s="84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50"/>
      <c r="B697" s="88"/>
      <c r="C697" s="90"/>
      <c r="D697" s="84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50"/>
      <c r="B698" s="88"/>
      <c r="C698" s="90"/>
      <c r="D698" s="84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50"/>
      <c r="B699" s="88"/>
      <c r="C699" s="90"/>
      <c r="D699" s="84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50"/>
      <c r="B700" s="88"/>
      <c r="C700" s="90"/>
      <c r="D700" s="84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50"/>
      <c r="B701" s="88"/>
      <c r="C701" s="90"/>
      <c r="D701" s="84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50"/>
      <c r="B702" s="88"/>
      <c r="C702" s="90"/>
      <c r="D702" s="84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50"/>
      <c r="B703" s="88"/>
      <c r="C703" s="90"/>
      <c r="D703" s="84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50"/>
      <c r="B704" s="88"/>
      <c r="C704" s="90"/>
      <c r="D704" s="84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50"/>
      <c r="B705" s="88"/>
      <c r="C705" s="90"/>
      <c r="D705" s="84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50"/>
      <c r="B706" s="88"/>
      <c r="C706" s="90"/>
      <c r="D706" s="84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50"/>
      <c r="B707" s="88"/>
      <c r="C707" s="90"/>
      <c r="D707" s="84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50"/>
      <c r="B708" s="88"/>
      <c r="C708" s="90"/>
      <c r="D708" s="84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50"/>
      <c r="B709" s="88"/>
      <c r="C709" s="90"/>
      <c r="D709" s="84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50"/>
      <c r="B710" s="88"/>
      <c r="C710" s="90"/>
      <c r="D710" s="84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50"/>
      <c r="B711" s="88"/>
      <c r="C711" s="90"/>
      <c r="D711" s="84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50"/>
      <c r="B712" s="88"/>
      <c r="C712" s="90"/>
      <c r="D712" s="84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50"/>
      <c r="B713" s="88"/>
      <c r="C713" s="90"/>
      <c r="D713" s="84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50"/>
      <c r="B714" s="88"/>
      <c r="C714" s="90"/>
      <c r="D714" s="84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50"/>
      <c r="B715" s="88"/>
      <c r="C715" s="90"/>
      <c r="D715" s="84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50"/>
      <c r="B716" s="88"/>
      <c r="C716" s="90"/>
      <c r="D716" s="84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50"/>
      <c r="B717" s="88"/>
      <c r="C717" s="90"/>
      <c r="D717" s="84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50"/>
      <c r="B718" s="88"/>
      <c r="C718" s="90"/>
      <c r="D718" s="84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50"/>
      <c r="B719" s="88"/>
      <c r="C719" s="90"/>
      <c r="D719" s="84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50"/>
      <c r="B720" s="88"/>
      <c r="C720" s="90"/>
      <c r="D720" s="84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50"/>
      <c r="B721" s="88"/>
      <c r="C721" s="90"/>
      <c r="D721" s="84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50"/>
      <c r="B722" s="88"/>
      <c r="C722" s="90"/>
      <c r="D722" s="84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50"/>
      <c r="B723" s="88"/>
      <c r="C723" s="90"/>
      <c r="D723" s="84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50"/>
      <c r="B724" s="88"/>
      <c r="C724" s="90"/>
      <c r="D724" s="84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50"/>
      <c r="B725" s="88"/>
      <c r="C725" s="90"/>
      <c r="D725" s="84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50"/>
      <c r="B726" s="88"/>
      <c r="C726" s="90"/>
      <c r="D726" s="84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50"/>
      <c r="B727" s="88"/>
      <c r="C727" s="90"/>
      <c r="D727" s="84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50"/>
      <c r="B728" s="88"/>
      <c r="C728" s="90"/>
      <c r="D728" s="84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50"/>
      <c r="B729" s="88"/>
      <c r="C729" s="90"/>
      <c r="D729" s="84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50"/>
      <c r="B730" s="88"/>
      <c r="C730" s="90"/>
      <c r="D730" s="84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50"/>
      <c r="B731" s="88"/>
      <c r="C731" s="90"/>
      <c r="D731" s="84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50"/>
      <c r="B732" s="88"/>
      <c r="C732" s="90"/>
      <c r="D732" s="84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50"/>
      <c r="B733" s="88"/>
      <c r="C733" s="90"/>
      <c r="D733" s="84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50"/>
      <c r="B734" s="88"/>
      <c r="C734" s="90"/>
      <c r="D734" s="84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50"/>
      <c r="B735" s="88"/>
      <c r="C735" s="90"/>
      <c r="D735" s="84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50"/>
      <c r="B736" s="88"/>
      <c r="C736" s="90"/>
      <c r="D736" s="84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50"/>
      <c r="B737" s="88"/>
      <c r="C737" s="90"/>
      <c r="D737" s="84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50"/>
      <c r="B738" s="88"/>
      <c r="C738" s="90"/>
      <c r="D738" s="84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50"/>
      <c r="B739" s="88"/>
      <c r="C739" s="90"/>
      <c r="D739" s="84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50"/>
      <c r="B740" s="88"/>
      <c r="C740" s="90"/>
      <c r="D740" s="84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50"/>
      <c r="B741" s="88"/>
      <c r="C741" s="90"/>
      <c r="D741" s="84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50"/>
      <c r="B742" s="88"/>
      <c r="C742" s="90"/>
      <c r="D742" s="84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50"/>
      <c r="B743" s="88"/>
      <c r="C743" s="90"/>
      <c r="D743" s="84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50"/>
      <c r="B744" s="88"/>
      <c r="C744" s="90"/>
      <c r="D744" s="84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50"/>
      <c r="B745" s="88"/>
      <c r="C745" s="90"/>
      <c r="D745" s="84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50"/>
      <c r="B746" s="88"/>
      <c r="C746" s="90"/>
      <c r="D746" s="84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50"/>
      <c r="B747" s="88"/>
      <c r="C747" s="90"/>
      <c r="D747" s="84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50"/>
      <c r="B748" s="88"/>
      <c r="C748" s="90"/>
      <c r="D748" s="84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50"/>
      <c r="B749" s="88"/>
      <c r="C749" s="90"/>
      <c r="D749" s="84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50"/>
      <c r="B750" s="88"/>
      <c r="C750" s="90"/>
      <c r="D750" s="84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50"/>
      <c r="B751" s="88"/>
      <c r="C751" s="90"/>
      <c r="D751" s="84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50"/>
      <c r="B752" s="88"/>
      <c r="C752" s="90"/>
      <c r="D752" s="84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50"/>
      <c r="B753" s="88"/>
      <c r="C753" s="90"/>
      <c r="D753" s="84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50"/>
      <c r="B754" s="88"/>
      <c r="C754" s="90"/>
      <c r="D754" s="84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50"/>
      <c r="B755" s="88"/>
      <c r="C755" s="90"/>
      <c r="D755" s="84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50"/>
      <c r="B756" s="88"/>
      <c r="C756" s="90"/>
      <c r="D756" s="84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50"/>
      <c r="B757" s="88"/>
      <c r="C757" s="90"/>
      <c r="D757" s="84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50"/>
      <c r="B758" s="88"/>
      <c r="C758" s="90"/>
      <c r="D758" s="84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50"/>
      <c r="B759" s="88"/>
      <c r="C759" s="90"/>
      <c r="D759" s="84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50"/>
      <c r="B760" s="88"/>
      <c r="C760" s="90"/>
      <c r="D760" s="84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50"/>
      <c r="B761" s="88"/>
      <c r="C761" s="90"/>
      <c r="D761" s="84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50"/>
      <c r="B762" s="88"/>
      <c r="C762" s="90"/>
      <c r="D762" s="84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50"/>
      <c r="B763" s="88"/>
      <c r="C763" s="90"/>
      <c r="D763" s="84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50"/>
      <c r="B764" s="88"/>
      <c r="C764" s="90"/>
      <c r="D764" s="84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50"/>
      <c r="B765" s="88"/>
      <c r="C765" s="90"/>
      <c r="D765" s="84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50"/>
      <c r="B766" s="88"/>
      <c r="C766" s="90"/>
      <c r="D766" s="84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50"/>
      <c r="B767" s="88"/>
      <c r="C767" s="90"/>
      <c r="D767" s="84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50"/>
      <c r="B768" s="88"/>
      <c r="C768" s="90"/>
      <c r="D768" s="84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50"/>
      <c r="B769" s="88"/>
      <c r="C769" s="90"/>
      <c r="D769" s="84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50"/>
      <c r="B770" s="88"/>
      <c r="C770" s="90"/>
      <c r="D770" s="84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50"/>
      <c r="B771" s="88"/>
      <c r="C771" s="90"/>
      <c r="D771" s="84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50"/>
      <c r="B772" s="88"/>
      <c r="C772" s="90"/>
      <c r="D772" s="84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50"/>
      <c r="B773" s="88"/>
      <c r="C773" s="90"/>
      <c r="D773" s="84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50"/>
      <c r="B774" s="88"/>
      <c r="C774" s="90"/>
      <c r="D774" s="84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50"/>
      <c r="B775" s="88"/>
      <c r="C775" s="90"/>
      <c r="D775" s="84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50"/>
      <c r="B776" s="88"/>
      <c r="C776" s="90"/>
      <c r="D776" s="84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50"/>
      <c r="B777" s="88"/>
      <c r="C777" s="90"/>
      <c r="D777" s="84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50"/>
      <c r="B778" s="88"/>
      <c r="C778" s="90"/>
      <c r="D778" s="84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50"/>
      <c r="B779" s="88"/>
      <c r="C779" s="90"/>
      <c r="D779" s="84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50"/>
      <c r="B780" s="88"/>
      <c r="C780" s="90"/>
      <c r="D780" s="84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50"/>
      <c r="B781" s="88"/>
      <c r="C781" s="90"/>
      <c r="D781" s="84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50"/>
      <c r="B782" s="88"/>
      <c r="C782" s="90"/>
      <c r="D782" s="84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50"/>
      <c r="B783" s="88"/>
      <c r="C783" s="90"/>
      <c r="D783" s="84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50"/>
      <c r="B784" s="88"/>
      <c r="C784" s="90"/>
      <c r="D784" s="84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50"/>
      <c r="B785" s="88"/>
      <c r="C785" s="90"/>
      <c r="D785" s="84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50"/>
      <c r="B786" s="88"/>
      <c r="C786" s="90"/>
      <c r="D786" s="84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50"/>
      <c r="B787" s="88"/>
      <c r="C787" s="90"/>
      <c r="D787" s="84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50"/>
      <c r="B788" s="88"/>
      <c r="C788" s="90"/>
      <c r="D788" s="84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50"/>
      <c r="B789" s="88"/>
      <c r="C789" s="90"/>
      <c r="D789" s="84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50"/>
      <c r="B790" s="88"/>
      <c r="C790" s="90"/>
      <c r="D790" s="84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50"/>
      <c r="B791" s="88"/>
      <c r="C791" s="90"/>
      <c r="D791" s="84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50"/>
      <c r="B792" s="88"/>
      <c r="C792" s="90"/>
      <c r="D792" s="84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50"/>
      <c r="B793" s="88"/>
      <c r="C793" s="90"/>
      <c r="D793" s="84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50"/>
      <c r="B794" s="88"/>
      <c r="C794" s="90"/>
      <c r="D794" s="84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50"/>
      <c r="B795" s="88"/>
      <c r="C795" s="90"/>
      <c r="D795" s="84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50"/>
      <c r="B796" s="88"/>
      <c r="C796" s="90"/>
      <c r="D796" s="84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50"/>
      <c r="B797" s="88"/>
      <c r="C797" s="90"/>
      <c r="D797" s="84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50"/>
      <c r="B798" s="88"/>
      <c r="C798" s="90"/>
      <c r="D798" s="84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50"/>
      <c r="B799" s="88"/>
      <c r="C799" s="90"/>
      <c r="D799" s="84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50"/>
      <c r="B800" s="88"/>
      <c r="C800" s="90"/>
      <c r="D800" s="84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50"/>
      <c r="B801" s="88"/>
      <c r="C801" s="90"/>
      <c r="D801" s="84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50"/>
      <c r="B802" s="88"/>
      <c r="C802" s="90"/>
      <c r="D802" s="84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50"/>
      <c r="B803" s="88"/>
      <c r="C803" s="90"/>
      <c r="D803" s="84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50"/>
      <c r="B804" s="88"/>
      <c r="C804" s="90"/>
      <c r="D804" s="84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50"/>
      <c r="B805" s="88"/>
      <c r="C805" s="90"/>
      <c r="D805" s="84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50"/>
      <c r="B806" s="88"/>
      <c r="C806" s="90"/>
      <c r="D806" s="84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50"/>
      <c r="B807" s="88"/>
      <c r="C807" s="90"/>
      <c r="D807" s="84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50"/>
      <c r="B808" s="88"/>
      <c r="C808" s="90"/>
      <c r="D808" s="84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50"/>
      <c r="B809" s="88"/>
      <c r="C809" s="90"/>
      <c r="D809" s="84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50"/>
      <c r="B810" s="88"/>
      <c r="C810" s="90"/>
      <c r="D810" s="84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50"/>
      <c r="B811" s="88"/>
      <c r="C811" s="90"/>
      <c r="D811" s="84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50"/>
      <c r="B812" s="88"/>
      <c r="C812" s="90"/>
      <c r="D812" s="84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50"/>
      <c r="B813" s="88"/>
      <c r="C813" s="90"/>
      <c r="D813" s="84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50"/>
      <c r="B814" s="88"/>
      <c r="C814" s="90"/>
      <c r="D814" s="84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50"/>
      <c r="B815" s="88"/>
      <c r="C815" s="90"/>
      <c r="D815" s="84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50"/>
      <c r="B816" s="88"/>
      <c r="C816" s="90"/>
      <c r="D816" s="84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50"/>
      <c r="B817" s="88"/>
      <c r="C817" s="90"/>
      <c r="D817" s="84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50"/>
      <c r="B818" s="88"/>
      <c r="C818" s="90"/>
      <c r="D818" s="84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50"/>
      <c r="B819" s="88"/>
      <c r="C819" s="90"/>
      <c r="D819" s="84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50"/>
      <c r="B820" s="88"/>
      <c r="C820" s="90"/>
      <c r="D820" s="84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50"/>
      <c r="B821" s="88"/>
      <c r="C821" s="90"/>
      <c r="D821" s="84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50"/>
      <c r="B822" s="88"/>
      <c r="C822" s="90"/>
      <c r="D822" s="84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50"/>
      <c r="B823" s="88"/>
      <c r="C823" s="90"/>
      <c r="D823" s="84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50"/>
      <c r="B824" s="88"/>
      <c r="C824" s="90"/>
      <c r="D824" s="84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50"/>
      <c r="B825" s="88"/>
      <c r="C825" s="90"/>
      <c r="D825" s="84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50"/>
      <c r="B826" s="88"/>
      <c r="C826" s="90"/>
      <c r="D826" s="84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50"/>
      <c r="B827" s="88"/>
      <c r="C827" s="90"/>
      <c r="D827" s="84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50"/>
      <c r="B828" s="88"/>
      <c r="C828" s="90"/>
      <c r="D828" s="84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50"/>
      <c r="B829" s="88"/>
      <c r="C829" s="90"/>
      <c r="D829" s="84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50"/>
      <c r="B830" s="88"/>
      <c r="C830" s="90"/>
      <c r="D830" s="84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50"/>
      <c r="B831" s="88"/>
      <c r="C831" s="90"/>
      <c r="D831" s="84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50"/>
      <c r="B832" s="88"/>
      <c r="C832" s="90"/>
      <c r="D832" s="84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50"/>
      <c r="B833" s="88"/>
      <c r="C833" s="90"/>
      <c r="D833" s="84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50"/>
      <c r="B834" s="88"/>
      <c r="C834" s="90"/>
      <c r="D834" s="84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50"/>
      <c r="B835" s="88"/>
      <c r="C835" s="90"/>
      <c r="D835" s="84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50"/>
      <c r="B836" s="88"/>
      <c r="C836" s="90"/>
      <c r="D836" s="84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50"/>
      <c r="B837" s="88"/>
      <c r="C837" s="90"/>
      <c r="D837" s="84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50"/>
      <c r="B838" s="88"/>
      <c r="C838" s="90"/>
      <c r="D838" s="84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50"/>
      <c r="B839" s="88"/>
      <c r="C839" s="90"/>
      <c r="D839" s="84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50"/>
      <c r="B840" s="88"/>
      <c r="C840" s="90"/>
      <c r="D840" s="84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50"/>
      <c r="B841" s="88"/>
      <c r="C841" s="90"/>
      <c r="D841" s="84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50"/>
      <c r="B842" s="88"/>
      <c r="C842" s="90"/>
      <c r="D842" s="84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50"/>
      <c r="B843" s="88"/>
      <c r="C843" s="90"/>
      <c r="D843" s="84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50"/>
      <c r="B844" s="88"/>
      <c r="C844" s="90"/>
      <c r="D844" s="84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50"/>
      <c r="B845" s="88"/>
      <c r="C845" s="90"/>
      <c r="D845" s="84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50"/>
      <c r="B846" s="88"/>
      <c r="C846" s="90"/>
      <c r="D846" s="84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50"/>
      <c r="B847" s="88"/>
      <c r="C847" s="90"/>
      <c r="D847" s="84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50"/>
      <c r="B848" s="88"/>
      <c r="C848" s="90"/>
      <c r="D848" s="84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50"/>
      <c r="B849" s="88"/>
      <c r="C849" s="90"/>
      <c r="D849" s="84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50"/>
      <c r="B850" s="88"/>
      <c r="C850" s="90"/>
      <c r="D850" s="84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50"/>
      <c r="B851" s="88"/>
      <c r="C851" s="90"/>
      <c r="D851" s="84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50"/>
      <c r="B852" s="88"/>
      <c r="C852" s="90"/>
      <c r="D852" s="84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50"/>
      <c r="B853" s="88"/>
      <c r="C853" s="90"/>
      <c r="D853" s="84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50"/>
      <c r="B854" s="88"/>
      <c r="C854" s="90"/>
      <c r="D854" s="84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50"/>
      <c r="B855" s="88"/>
      <c r="C855" s="90"/>
      <c r="D855" s="84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50"/>
      <c r="B856" s="88"/>
      <c r="C856" s="90"/>
      <c r="D856" s="84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50"/>
      <c r="B857" s="88"/>
      <c r="C857" s="90"/>
      <c r="D857" s="84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50"/>
      <c r="B858" s="88"/>
      <c r="C858" s="90"/>
      <c r="D858" s="84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50"/>
      <c r="B859" s="88"/>
      <c r="C859" s="90"/>
      <c r="D859" s="84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50"/>
      <c r="B860" s="88"/>
      <c r="C860" s="90"/>
      <c r="D860" s="84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50"/>
      <c r="B861" s="88"/>
      <c r="C861" s="90"/>
      <c r="D861" s="84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50"/>
      <c r="B862" s="88"/>
      <c r="C862" s="90"/>
      <c r="D862" s="84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50"/>
      <c r="B863" s="88"/>
      <c r="C863" s="90"/>
      <c r="D863" s="84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50"/>
      <c r="B864" s="88"/>
      <c r="C864" s="90"/>
      <c r="D864" s="84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50"/>
      <c r="B865" s="88"/>
      <c r="C865" s="90"/>
      <c r="D865" s="84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50"/>
      <c r="B866" s="88"/>
      <c r="C866" s="90"/>
      <c r="D866" s="84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50"/>
      <c r="B867" s="88"/>
      <c r="C867" s="90"/>
      <c r="D867" s="84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50"/>
      <c r="B868" s="88"/>
      <c r="C868" s="90"/>
      <c r="D868" s="84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50"/>
      <c r="B869" s="88"/>
      <c r="C869" s="90"/>
      <c r="D869" s="84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50"/>
      <c r="B870" s="88"/>
      <c r="C870" s="90"/>
      <c r="D870" s="84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50"/>
      <c r="B871" s="88"/>
      <c r="C871" s="90"/>
      <c r="D871" s="84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50"/>
      <c r="B872" s="88"/>
      <c r="C872" s="90"/>
      <c r="D872" s="84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50"/>
      <c r="B873" s="88"/>
      <c r="C873" s="90"/>
      <c r="D873" s="84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50"/>
      <c r="B874" s="88"/>
      <c r="C874" s="90"/>
      <c r="D874" s="84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50"/>
      <c r="B875" s="88"/>
      <c r="C875" s="90"/>
      <c r="D875" s="84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50"/>
      <c r="B876" s="88"/>
      <c r="C876" s="90"/>
      <c r="D876" s="84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50"/>
      <c r="B877" s="88"/>
      <c r="C877" s="90"/>
      <c r="D877" s="84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50"/>
      <c r="B878" s="88"/>
      <c r="C878" s="90"/>
      <c r="D878" s="84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50"/>
      <c r="B879" s="88"/>
      <c r="C879" s="90"/>
      <c r="D879" s="84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50"/>
      <c r="B880" s="88"/>
      <c r="C880" s="90"/>
      <c r="D880" s="84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50"/>
      <c r="B881" s="88"/>
      <c r="C881" s="90"/>
      <c r="D881" s="84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50"/>
      <c r="B882" s="88"/>
      <c r="C882" s="90"/>
      <c r="D882" s="84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50"/>
      <c r="B883" s="88"/>
      <c r="C883" s="90"/>
      <c r="D883" s="84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50"/>
      <c r="B884" s="88"/>
      <c r="C884" s="90"/>
      <c r="D884" s="84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50"/>
      <c r="B885" s="88"/>
      <c r="C885" s="90"/>
      <c r="D885" s="84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50"/>
      <c r="B886" s="88"/>
      <c r="C886" s="90"/>
      <c r="D886" s="84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50"/>
      <c r="B887" s="88"/>
      <c r="C887" s="90"/>
      <c r="D887" s="84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50"/>
      <c r="B888" s="88"/>
      <c r="C888" s="90"/>
      <c r="D888" s="84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50"/>
      <c r="B889" s="88"/>
      <c r="C889" s="90"/>
      <c r="D889" s="84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50"/>
      <c r="B890" s="88"/>
      <c r="C890" s="90"/>
      <c r="D890" s="84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50"/>
      <c r="B891" s="88"/>
      <c r="C891" s="90"/>
      <c r="D891" s="84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50"/>
      <c r="B892" s="88"/>
      <c r="C892" s="90"/>
      <c r="D892" s="84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50"/>
      <c r="B893" s="88"/>
      <c r="C893" s="90"/>
      <c r="D893" s="84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50"/>
      <c r="B894" s="88"/>
      <c r="C894" s="90"/>
      <c r="D894" s="84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50"/>
      <c r="B895" s="88"/>
      <c r="C895" s="90"/>
      <c r="D895" s="84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50"/>
      <c r="B896" s="88"/>
      <c r="C896" s="90"/>
      <c r="D896" s="84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50"/>
      <c r="B897" s="88"/>
      <c r="C897" s="90"/>
      <c r="D897" s="84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50"/>
      <c r="B898" s="88"/>
      <c r="C898" s="90"/>
      <c r="D898" s="84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50"/>
      <c r="B899" s="88"/>
      <c r="C899" s="90"/>
      <c r="D899" s="84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50"/>
      <c r="B900" s="88"/>
      <c r="C900" s="90"/>
      <c r="D900" s="84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50"/>
      <c r="B901" s="88"/>
      <c r="C901" s="90"/>
      <c r="D901" s="84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50"/>
      <c r="B902" s="88"/>
      <c r="C902" s="90"/>
      <c r="D902" s="84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50"/>
      <c r="B903" s="88"/>
      <c r="C903" s="90"/>
      <c r="D903" s="84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50"/>
      <c r="B904" s="88"/>
      <c r="C904" s="90"/>
      <c r="D904" s="84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50"/>
      <c r="B905" s="88"/>
      <c r="C905" s="90"/>
      <c r="D905" s="84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50"/>
      <c r="B906" s="88"/>
      <c r="C906" s="90"/>
      <c r="D906" s="84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50"/>
      <c r="B907" s="88"/>
      <c r="C907" s="90"/>
      <c r="D907" s="84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50"/>
      <c r="B908" s="88"/>
      <c r="C908" s="90"/>
      <c r="D908" s="84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50"/>
      <c r="B909" s="88"/>
      <c r="C909" s="90"/>
      <c r="D909" s="84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50"/>
      <c r="B910" s="88"/>
      <c r="C910" s="90"/>
      <c r="D910" s="84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50"/>
      <c r="B911" s="88"/>
      <c r="C911" s="90"/>
      <c r="D911" s="84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50"/>
      <c r="B912" s="88"/>
      <c r="C912" s="90"/>
      <c r="D912" s="84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50"/>
      <c r="B913" s="88"/>
      <c r="C913" s="90"/>
      <c r="D913" s="84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50"/>
      <c r="B914" s="88"/>
      <c r="C914" s="90"/>
      <c r="D914" s="84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50"/>
      <c r="B915" s="88"/>
      <c r="C915" s="90"/>
      <c r="D915" s="84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50"/>
      <c r="B916" s="88"/>
      <c r="C916" s="90"/>
      <c r="D916" s="84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50"/>
      <c r="B917" s="88"/>
      <c r="C917" s="90"/>
      <c r="D917" s="84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50"/>
      <c r="B918" s="88"/>
      <c r="C918" s="90"/>
      <c r="D918" s="84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50"/>
      <c r="B919" s="88"/>
      <c r="C919" s="90"/>
      <c r="D919" s="84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50"/>
      <c r="B920" s="88"/>
      <c r="C920" s="90"/>
      <c r="D920" s="84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50"/>
      <c r="B921" s="88"/>
      <c r="C921" s="90"/>
      <c r="D921" s="84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50"/>
      <c r="B922" s="88"/>
      <c r="C922" s="90"/>
      <c r="D922" s="84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50"/>
      <c r="B923" s="88"/>
      <c r="C923" s="90"/>
      <c r="D923" s="84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50"/>
      <c r="B924" s="88"/>
      <c r="C924" s="90"/>
      <c r="D924" s="84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50"/>
      <c r="B925" s="88"/>
      <c r="C925" s="90"/>
      <c r="D925" s="84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50"/>
      <c r="B926" s="88"/>
      <c r="C926" s="90"/>
      <c r="D926" s="84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50"/>
      <c r="B927" s="88"/>
      <c r="C927" s="90"/>
      <c r="D927" s="84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50"/>
      <c r="B928" s="88"/>
      <c r="C928" s="90"/>
      <c r="D928" s="84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50"/>
      <c r="B929" s="88"/>
      <c r="C929" s="90"/>
      <c r="D929" s="84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50"/>
      <c r="B930" s="88"/>
      <c r="C930" s="90"/>
      <c r="D930" s="84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50"/>
      <c r="B931" s="88"/>
      <c r="C931" s="90"/>
      <c r="D931" s="84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50"/>
      <c r="B932" s="88"/>
      <c r="C932" s="90"/>
      <c r="D932" s="84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50"/>
      <c r="B933" s="88"/>
      <c r="C933" s="90"/>
      <c r="D933" s="84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50"/>
      <c r="B934" s="88"/>
      <c r="C934" s="90"/>
      <c r="D934" s="84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50"/>
      <c r="B935" s="88"/>
      <c r="C935" s="90"/>
      <c r="D935" s="84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50"/>
      <c r="B936" s="88"/>
      <c r="C936" s="90"/>
      <c r="D936" s="84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50"/>
      <c r="B937" s="88"/>
      <c r="C937" s="90"/>
      <c r="D937" s="84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50"/>
      <c r="B938" s="88"/>
      <c r="C938" s="90"/>
      <c r="D938" s="84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50"/>
      <c r="B939" s="88"/>
      <c r="C939" s="90"/>
      <c r="D939" s="84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50"/>
      <c r="B940" s="88"/>
      <c r="C940" s="90"/>
      <c r="D940" s="84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50"/>
      <c r="B941" s="88"/>
      <c r="C941" s="90"/>
      <c r="D941" s="84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50"/>
      <c r="B942" s="88"/>
      <c r="C942" s="90"/>
      <c r="D942" s="84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50"/>
      <c r="B943" s="88"/>
      <c r="C943" s="90"/>
      <c r="D943" s="84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50"/>
      <c r="B944" s="88"/>
      <c r="C944" s="90"/>
      <c r="D944" s="84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50"/>
      <c r="B945" s="88"/>
      <c r="C945" s="90"/>
      <c r="D945" s="84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50"/>
      <c r="B946" s="88"/>
      <c r="C946" s="90"/>
      <c r="D946" s="84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50"/>
      <c r="B947" s="88"/>
      <c r="C947" s="90"/>
      <c r="D947" s="84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50"/>
      <c r="B948" s="88"/>
      <c r="C948" s="90"/>
      <c r="D948" s="84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50"/>
      <c r="B949" s="88"/>
      <c r="C949" s="90"/>
      <c r="D949" s="84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50"/>
      <c r="B950" s="88"/>
      <c r="C950" s="90"/>
      <c r="D950" s="84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50"/>
      <c r="B951" s="88"/>
      <c r="C951" s="90"/>
      <c r="D951" s="84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50"/>
      <c r="B952" s="88"/>
      <c r="C952" s="90"/>
      <c r="D952" s="84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50"/>
      <c r="B953" s="88"/>
      <c r="C953" s="90"/>
      <c r="D953" s="84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50"/>
      <c r="B954" s="88"/>
      <c r="C954" s="90"/>
      <c r="D954" s="84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50"/>
      <c r="B955" s="88"/>
      <c r="C955" s="90"/>
      <c r="D955" s="84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50"/>
      <c r="B956" s="88"/>
      <c r="C956" s="90"/>
      <c r="D956" s="84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50"/>
      <c r="B957" s="88"/>
      <c r="C957" s="90"/>
      <c r="D957" s="84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50"/>
      <c r="B958" s="88"/>
      <c r="C958" s="90"/>
      <c r="D958" s="84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50"/>
      <c r="B959" s="88"/>
      <c r="C959" s="90"/>
      <c r="D959" s="84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50"/>
      <c r="B960" s="88"/>
      <c r="C960" s="90"/>
      <c r="D960" s="84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50"/>
      <c r="B961" s="88"/>
      <c r="C961" s="90"/>
      <c r="D961" s="84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50"/>
      <c r="B962" s="88"/>
      <c r="C962" s="90"/>
      <c r="D962" s="84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50"/>
      <c r="B963" s="88"/>
      <c r="C963" s="90"/>
      <c r="D963" s="84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50"/>
      <c r="B964" s="88"/>
      <c r="C964" s="90"/>
      <c r="D964" s="84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50"/>
      <c r="B965" s="88"/>
      <c r="C965" s="90"/>
      <c r="D965" s="84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50"/>
      <c r="B966" s="88"/>
      <c r="C966" s="90"/>
      <c r="D966" s="84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50"/>
      <c r="B967" s="88"/>
      <c r="C967" s="90"/>
      <c r="D967" s="84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50"/>
      <c r="B968" s="88"/>
      <c r="C968" s="90"/>
      <c r="D968" s="84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50"/>
      <c r="B969" s="88"/>
      <c r="C969" s="90"/>
      <c r="D969" s="84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50"/>
      <c r="B970" s="88"/>
      <c r="C970" s="90"/>
      <c r="D970" s="84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50"/>
      <c r="B971" s="88"/>
      <c r="C971" s="90"/>
      <c r="D971" s="84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50"/>
      <c r="B972" s="88"/>
      <c r="C972" s="90"/>
      <c r="D972" s="84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50"/>
      <c r="B973" s="88"/>
      <c r="C973" s="90"/>
      <c r="D973" s="84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50"/>
      <c r="B974" s="88"/>
      <c r="C974" s="90"/>
      <c r="D974" s="84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50"/>
      <c r="B975" s="88"/>
      <c r="C975" s="90"/>
      <c r="D975" s="84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50"/>
      <c r="B976" s="88"/>
      <c r="C976" s="90"/>
      <c r="D976" s="84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50"/>
      <c r="B977" s="88"/>
      <c r="C977" s="90"/>
      <c r="D977" s="84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50"/>
      <c r="B978" s="88"/>
      <c r="C978" s="90"/>
      <c r="D978" s="84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50"/>
      <c r="B979" s="88"/>
      <c r="C979" s="90"/>
      <c r="D979" s="84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50"/>
      <c r="B980" s="88"/>
      <c r="C980" s="90"/>
      <c r="D980" s="84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50"/>
      <c r="B981" s="88"/>
      <c r="C981" s="90"/>
      <c r="D981" s="84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>
      <c r="A982" s="50"/>
      <c r="B982" s="88"/>
      <c r="C982" s="90"/>
      <c r="D982" s="84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>
      <c r="A983" s="50"/>
      <c r="B983" s="88"/>
      <c r="C983" s="90"/>
      <c r="D983" s="84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>
      <c r="A984" s="50"/>
      <c r="B984" s="88"/>
      <c r="C984" s="90"/>
      <c r="D984" s="84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>
      <c r="A985" s="50"/>
      <c r="B985" s="88"/>
      <c r="C985" s="90"/>
      <c r="D985" s="84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>
      <c r="A986" s="50"/>
      <c r="B986" s="88"/>
      <c r="C986" s="90"/>
      <c r="D986" s="84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>
      <c r="A987" s="50"/>
      <c r="B987" s="88"/>
      <c r="C987" s="90"/>
      <c r="D987" s="84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>
      <c r="A988" s="50"/>
      <c r="B988" s="88"/>
      <c r="C988" s="90"/>
      <c r="D988" s="84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>
      <c r="A989" s="50"/>
      <c r="B989" s="88"/>
      <c r="C989" s="90"/>
      <c r="D989" s="84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>
      <c r="A990" s="50"/>
      <c r="B990" s="88"/>
      <c r="C990" s="90"/>
      <c r="D990" s="84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>
      <c r="A991" s="50"/>
      <c r="B991" s="88"/>
      <c r="C991" s="90"/>
      <c r="D991" s="84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>
      <c r="A992" s="50"/>
      <c r="B992" s="88"/>
      <c r="C992" s="90"/>
      <c r="D992" s="84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>
      <c r="A993" s="50"/>
      <c r="B993" s="88"/>
      <c r="C993" s="90"/>
      <c r="D993" s="84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>
      <c r="A994" s="50"/>
      <c r="B994" s="88"/>
      <c r="C994" s="90"/>
      <c r="D994" s="84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>
      <c r="A995" s="50"/>
      <c r="B995" s="88"/>
      <c r="C995" s="90"/>
      <c r="D995" s="84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>
      <c r="A996" s="50"/>
      <c r="B996" s="88"/>
      <c r="C996" s="90"/>
      <c r="D996" s="84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>
      <c r="A997" s="50"/>
      <c r="B997" s="88"/>
      <c r="C997" s="90"/>
      <c r="D997" s="84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>
      <c r="A998" s="50"/>
      <c r="B998" s="88"/>
      <c r="C998" s="90"/>
      <c r="D998" s="84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>
      <c r="A999" s="50"/>
      <c r="B999" s="88"/>
      <c r="C999" s="90"/>
      <c r="D999" s="84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>
      <c r="A1000" s="50"/>
      <c r="B1000" s="88"/>
      <c r="C1000" s="90"/>
      <c r="D1000" s="84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>
      <c r="A1001" s="50"/>
      <c r="B1001" s="88"/>
      <c r="C1001" s="90"/>
      <c r="D1001" s="84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>
      <c r="A1002" s="50"/>
      <c r="B1002" s="88"/>
      <c r="C1002" s="90"/>
      <c r="D1002" s="84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>
      <c r="A1003" s="50"/>
      <c r="B1003" s="88"/>
      <c r="C1003" s="90"/>
      <c r="D1003" s="84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>
      <c r="A1004" s="50"/>
      <c r="B1004" s="88"/>
      <c r="C1004" s="90"/>
      <c r="D1004" s="84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  <row r="1005">
      <c r="A1005" s="50"/>
      <c r="B1005" s="88"/>
      <c r="C1005" s="90"/>
      <c r="D1005" s="84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</row>
    <row r="1006">
      <c r="A1006" s="50"/>
      <c r="B1006" s="88"/>
      <c r="C1006" s="90"/>
      <c r="D1006" s="84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</row>
    <row r="1007">
      <c r="A1007" s="50"/>
      <c r="B1007" s="88"/>
      <c r="C1007" s="90"/>
      <c r="D1007" s="84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</row>
    <row r="1008">
      <c r="A1008" s="50"/>
      <c r="B1008" s="88"/>
      <c r="C1008" s="90"/>
      <c r="D1008" s="84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</row>
    <row r="1009">
      <c r="A1009" s="50"/>
      <c r="B1009" s="88"/>
      <c r="C1009" s="90"/>
      <c r="D1009" s="84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</row>
    <row r="1010">
      <c r="A1010" s="50"/>
      <c r="B1010" s="88"/>
      <c r="C1010" s="90"/>
      <c r="D1010" s="84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</row>
    <row r="1011">
      <c r="A1011" s="50"/>
      <c r="B1011" s="88"/>
      <c r="C1011" s="90"/>
      <c r="D1011" s="84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</row>
    <row r="1012">
      <c r="A1012" s="50"/>
      <c r="B1012" s="88"/>
      <c r="C1012" s="90"/>
      <c r="D1012" s="84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</row>
  </sheetData>
  <mergeCells count="39">
    <mergeCell ref="G16:H16"/>
    <mergeCell ref="G18:H18"/>
    <mergeCell ref="G19:H19"/>
    <mergeCell ref="F24:J24"/>
    <mergeCell ref="A2:A9"/>
    <mergeCell ref="F4:F5"/>
    <mergeCell ref="F8:F9"/>
    <mergeCell ref="A10:A12"/>
    <mergeCell ref="G13:H13"/>
    <mergeCell ref="G14:H14"/>
    <mergeCell ref="G15:H15"/>
    <mergeCell ref="A13:A15"/>
    <mergeCell ref="A16:A19"/>
    <mergeCell ref="A20:A23"/>
    <mergeCell ref="A24:A26"/>
    <mergeCell ref="A27:A30"/>
    <mergeCell ref="A31:A36"/>
    <mergeCell ref="A37:A39"/>
    <mergeCell ref="A40:A44"/>
    <mergeCell ref="A45:A50"/>
    <mergeCell ref="A51:A57"/>
    <mergeCell ref="A58:A63"/>
    <mergeCell ref="A64:A67"/>
    <mergeCell ref="A68:A72"/>
    <mergeCell ref="A73:A74"/>
    <mergeCell ref="A101:A105"/>
    <mergeCell ref="A106:A111"/>
    <mergeCell ref="A112:A114"/>
    <mergeCell ref="A115:A116"/>
    <mergeCell ref="A118:A122"/>
    <mergeCell ref="A123:A127"/>
    <mergeCell ref="A128:A132"/>
    <mergeCell ref="A75:A82"/>
    <mergeCell ref="A83:A84"/>
    <mergeCell ref="A85:A86"/>
    <mergeCell ref="A87:A89"/>
    <mergeCell ref="A90:A94"/>
    <mergeCell ref="A95:A96"/>
    <mergeCell ref="A97:A100"/>
  </mergeCells>
  <conditionalFormatting sqref="F27:J108">
    <cfRule type="expression" dxfId="0" priority="1">
      <formula>$I27=TRUE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13"/>
    <col customWidth="1" min="4" max="4" width="21.88"/>
    <col customWidth="1" min="5" max="5" width="15.63"/>
    <col customWidth="1" min="6" max="6" width="24.38"/>
    <col customWidth="1" min="7" max="7" width="41.38"/>
    <col customWidth="1" min="8" max="8" width="14.38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8">
        <v>46171.0</v>
      </c>
      <c r="B2" s="41" t="s">
        <v>41</v>
      </c>
      <c r="C2" s="41">
        <v>300.0</v>
      </c>
      <c r="D2" s="99" t="s">
        <v>40</v>
      </c>
      <c r="E2" s="41"/>
      <c r="F2" s="100">
        <v>46141.0</v>
      </c>
      <c r="G2" s="101" t="s">
        <v>248</v>
      </c>
      <c r="H2" s="102">
        <f>24357</f>
        <v>24357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41" t="s">
        <v>249</v>
      </c>
      <c r="C3" s="41">
        <v>1000.0</v>
      </c>
      <c r="D3" s="99" t="s">
        <v>249</v>
      </c>
      <c r="E3" s="41"/>
      <c r="F3" s="103">
        <v>46177.0</v>
      </c>
      <c r="G3" s="41" t="s">
        <v>157</v>
      </c>
      <c r="H3" s="104">
        <v>5545.0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1" t="s">
        <v>152</v>
      </c>
      <c r="C4" s="41">
        <v>16.0</v>
      </c>
      <c r="D4" s="99" t="s">
        <v>40</v>
      </c>
      <c r="E4" s="5"/>
      <c r="F4" s="103">
        <v>46178.0</v>
      </c>
      <c r="G4" s="41" t="s">
        <v>250</v>
      </c>
      <c r="H4" s="104">
        <v>1000.0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41" t="s">
        <v>50</v>
      </c>
      <c r="C5" s="41">
        <v>32.0</v>
      </c>
      <c r="D5" s="99" t="s">
        <v>40</v>
      </c>
      <c r="E5" s="41"/>
      <c r="F5" s="103">
        <v>46180.0</v>
      </c>
      <c r="G5" s="41" t="s">
        <v>251</v>
      </c>
      <c r="H5" s="104">
        <v>2500.0</v>
      </c>
      <c r="I5" s="4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41" t="s">
        <v>163</v>
      </c>
      <c r="C6" s="41">
        <v>30.0</v>
      </c>
      <c r="D6" s="99" t="s">
        <v>101</v>
      </c>
      <c r="E6" s="5"/>
      <c r="F6" s="103">
        <v>46188.0</v>
      </c>
      <c r="G6" s="41" t="s">
        <v>198</v>
      </c>
      <c r="H6" s="104">
        <v>1500.0</v>
      </c>
      <c r="I6" s="4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41" t="s">
        <v>252</v>
      </c>
      <c r="C7" s="41">
        <v>69.0</v>
      </c>
      <c r="D7" s="99" t="s">
        <v>40</v>
      </c>
      <c r="E7" s="5"/>
      <c r="F7" s="103">
        <v>46189.0</v>
      </c>
      <c r="G7" s="41" t="s">
        <v>253</v>
      </c>
      <c r="H7" s="104">
        <f>876+5850</f>
        <v>6726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41" t="s">
        <v>84</v>
      </c>
      <c r="C8" s="41">
        <v>2000.0</v>
      </c>
      <c r="D8" s="99" t="s">
        <v>84</v>
      </c>
      <c r="E8" s="5"/>
      <c r="F8" s="92"/>
      <c r="G8" s="41" t="s">
        <v>254</v>
      </c>
      <c r="H8" s="104">
        <v>864.0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41" t="s">
        <v>35</v>
      </c>
      <c r="C9" s="41">
        <v>3000.0</v>
      </c>
      <c r="D9" s="99" t="s">
        <v>35</v>
      </c>
      <c r="E9" s="5"/>
      <c r="F9" s="103">
        <v>46200.0</v>
      </c>
      <c r="G9" s="41" t="s">
        <v>202</v>
      </c>
      <c r="H9" s="104">
        <v>200.0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B10" s="105" t="s">
        <v>255</v>
      </c>
      <c r="C10" s="106">
        <v>5000.0</v>
      </c>
      <c r="D10" s="107" t="s">
        <v>42</v>
      </c>
      <c r="E10" s="5"/>
      <c r="F10" s="103"/>
      <c r="G10" s="41"/>
      <c r="H10" s="10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8">
        <v>46172.0</v>
      </c>
      <c r="B11" s="109" t="s">
        <v>186</v>
      </c>
      <c r="C11" s="110">
        <v>190.0</v>
      </c>
      <c r="D11" s="111" t="s">
        <v>40</v>
      </c>
      <c r="E11" s="41"/>
      <c r="F11" s="103"/>
      <c r="G11" s="41"/>
      <c r="H11" s="10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B12" s="109" t="s">
        <v>256</v>
      </c>
      <c r="C12" s="110">
        <v>27.0</v>
      </c>
      <c r="D12" s="111" t="s">
        <v>40</v>
      </c>
      <c r="E12" s="5"/>
      <c r="F12" s="112"/>
      <c r="G12" s="113"/>
      <c r="H12" s="11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109" t="s">
        <v>257</v>
      </c>
      <c r="C13" s="110">
        <f>120+280</f>
        <v>400</v>
      </c>
      <c r="D13" s="107" t="s">
        <v>34</v>
      </c>
      <c r="E13" s="5"/>
      <c r="F13" s="115" t="s">
        <v>49</v>
      </c>
      <c r="G13" s="116">
        <f>SUM(H2:H12)</f>
        <v>42692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109" t="s">
        <v>175</v>
      </c>
      <c r="C14" s="110">
        <v>82.0</v>
      </c>
      <c r="D14" s="111" t="s">
        <v>40</v>
      </c>
      <c r="E14" s="5"/>
      <c r="F14" s="117" t="s">
        <v>51</v>
      </c>
      <c r="G14" s="118">
        <f>SUMPRODUCT(((D2:D229&lt;&gt;"Credit")*(D2:D229&lt;&gt;"Quỹ Shinhan"))*C2:C229) + G15</f>
        <v>42650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109" t="s">
        <v>113</v>
      </c>
      <c r="C15" s="110">
        <v>96.0</v>
      </c>
      <c r="D15" s="111" t="s">
        <v>40</v>
      </c>
      <c r="E15" s="5"/>
      <c r="F15" s="117" t="s">
        <v>53</v>
      </c>
      <c r="G15" s="119">
        <f>20+2+1749+36+146+122+124+119+52+75</f>
        <v>2445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B16" s="109" t="s">
        <v>120</v>
      </c>
      <c r="C16" s="110">
        <v>23.0</v>
      </c>
      <c r="D16" s="111" t="s">
        <v>40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B17" s="109" t="s">
        <v>112</v>
      </c>
      <c r="C17" s="110">
        <v>50.0</v>
      </c>
      <c r="D17" s="111" t="s">
        <v>40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B18" s="109" t="s">
        <v>148</v>
      </c>
      <c r="C18" s="120">
        <v>20.0</v>
      </c>
      <c r="D18" s="111" t="s">
        <v>40</v>
      </c>
      <c r="E18" s="41"/>
      <c r="F18" s="117" t="s">
        <v>57</v>
      </c>
      <c r="G18" s="121">
        <f>G13-G14-J26</f>
        <v>42</v>
      </c>
      <c r="H18" s="3"/>
      <c r="I18" s="41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8">
        <v>46173.0</v>
      </c>
      <c r="B19" s="41" t="s">
        <v>231</v>
      </c>
      <c r="C19" s="41">
        <v>30.0</v>
      </c>
      <c r="D19" s="99" t="s">
        <v>40</v>
      </c>
      <c r="E19" s="5"/>
      <c r="F19" s="117" t="s">
        <v>59</v>
      </c>
      <c r="G19" s="122">
        <f>G13-G14</f>
        <v>42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B20" s="41" t="s">
        <v>258</v>
      </c>
      <c r="C20" s="41">
        <v>54.0</v>
      </c>
      <c r="D20" s="99" t="s">
        <v>40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B21" s="41" t="s">
        <v>37</v>
      </c>
      <c r="C21" s="41">
        <v>65.0</v>
      </c>
      <c r="D21" s="99" t="s">
        <v>40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41" t="s">
        <v>259</v>
      </c>
      <c r="C22" s="41">
        <v>65.0</v>
      </c>
      <c r="D22" s="99" t="s">
        <v>34</v>
      </c>
      <c r="E22" s="5"/>
      <c r="F22" s="124" t="s">
        <v>40</v>
      </c>
      <c r="G22" s="19">
        <v>8000.0</v>
      </c>
      <c r="H22" s="37">
        <f>SUMIF(D2:D152, "=Living expense",C2:C170)+G15</f>
        <v>10532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41" t="s">
        <v>168</v>
      </c>
      <c r="C23" s="41">
        <v>565.0</v>
      </c>
      <c r="D23" s="99" t="s">
        <v>48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B24" s="41" t="s">
        <v>167</v>
      </c>
      <c r="C24" s="41">
        <v>20.0</v>
      </c>
      <c r="D24" s="99" t="s">
        <v>40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41" t="s">
        <v>260</v>
      </c>
      <c r="C25" s="41">
        <v>112.0</v>
      </c>
      <c r="D25" s="99" t="s">
        <v>40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8">
        <v>46174.0</v>
      </c>
      <c r="B26" s="41" t="s">
        <v>152</v>
      </c>
      <c r="C26" s="41">
        <v>14.0</v>
      </c>
      <c r="D26" s="99" t="s">
        <v>40</v>
      </c>
      <c r="E26" s="5"/>
      <c r="F26" s="126" t="s">
        <v>73</v>
      </c>
      <c r="G26" s="127">
        <f t="shared" ref="G26:H26" si="1">SUM(G27:G108)</f>
        <v>25200</v>
      </c>
      <c r="H26" s="128">
        <f t="shared" si="1"/>
        <v>26789</v>
      </c>
      <c r="I26" s="129"/>
      <c r="J26" s="128">
        <f>SUM(J27:J108)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B27" s="41" t="s">
        <v>213</v>
      </c>
      <c r="C27" s="44">
        <f>108-36-36</f>
        <v>36</v>
      </c>
      <c r="D27" s="99" t="s">
        <v>40</v>
      </c>
      <c r="E27" s="41"/>
      <c r="F27" s="105" t="s">
        <v>66</v>
      </c>
      <c r="G27" s="107">
        <v>7000.0</v>
      </c>
      <c r="H27" s="130">
        <f>IFERROR(__xludf.DUMMYFUNCTION("SUMIF($D$2:$D$528, TO_TEXT(F27) ,$C$2:$C$528)"),6840.0)</f>
        <v>6840</v>
      </c>
      <c r="I27" s="41" t="b">
        <v>1</v>
      </c>
      <c r="J27" s="42">
        <f t="shared" ref="J27:J35" si="2">IF(I27=TRUE,0,MAX(G27-H27,0))</f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8">
        <v>46175.0</v>
      </c>
      <c r="B28" s="41" t="s">
        <v>10</v>
      </c>
      <c r="C28" s="41">
        <v>1700.0</v>
      </c>
      <c r="D28" s="99" t="s">
        <v>10</v>
      </c>
      <c r="E28" s="5"/>
      <c r="F28" s="105" t="s">
        <v>12</v>
      </c>
      <c r="G28" s="107">
        <v>3000.0</v>
      </c>
      <c r="H28" s="130">
        <f>IFERROR(__xludf.DUMMYFUNCTION("SUMIF($D$2:$D$528, TO_TEXT(F28) ,$C$2:$C$528)"),5000.0)</f>
        <v>5000</v>
      </c>
      <c r="I28" s="41" t="b">
        <v>1</v>
      </c>
      <c r="J28" s="42">
        <f t="shared" si="2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B29" s="41" t="s">
        <v>165</v>
      </c>
      <c r="C29" s="41">
        <v>990.0</v>
      </c>
      <c r="D29" s="99" t="s">
        <v>66</v>
      </c>
      <c r="E29" s="5"/>
      <c r="F29" s="41" t="s">
        <v>84</v>
      </c>
      <c r="G29" s="99">
        <v>2000.0</v>
      </c>
      <c r="H29" s="130">
        <f>IFERROR(__xludf.DUMMYFUNCTION("SUMIF($D$2:$D$528, TO_TEXT(F29) ,$C$2:$C$528)"),2000.0)</f>
        <v>2000</v>
      </c>
      <c r="I29" s="41" t="b">
        <v>1</v>
      </c>
      <c r="J29" s="42">
        <f t="shared" si="2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B30" s="41" t="s">
        <v>261</v>
      </c>
      <c r="C30" s="41">
        <v>231.0</v>
      </c>
      <c r="D30" s="99" t="s">
        <v>40</v>
      </c>
      <c r="E30" s="5"/>
      <c r="F30" s="105" t="s">
        <v>35</v>
      </c>
      <c r="G30" s="107">
        <v>3000.0</v>
      </c>
      <c r="H30" s="130">
        <f>IFERROR(__xludf.DUMMYFUNCTION("SUMIF($D$2:$D$528, TO_TEXT(F30) ,$C$2:$C$528)"),3000.0)</f>
        <v>3000</v>
      </c>
      <c r="I30" s="41" t="b">
        <v>1</v>
      </c>
      <c r="J30" s="42">
        <f t="shared" si="2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41" t="s">
        <v>91</v>
      </c>
      <c r="C31" s="41">
        <v>442.0</v>
      </c>
      <c r="D31" s="99" t="s">
        <v>40</v>
      </c>
      <c r="E31" s="5"/>
      <c r="F31" s="41" t="s">
        <v>10</v>
      </c>
      <c r="G31" s="99">
        <v>1700.0</v>
      </c>
      <c r="H31" s="130">
        <f>IFERROR(__xludf.DUMMYFUNCTION("SUMIF($D$2:$D$528, TO_TEXT(F31) ,$C$2:$C$528)"),1700.0)</f>
        <v>1700</v>
      </c>
      <c r="I31" s="41" t="b">
        <v>1</v>
      </c>
      <c r="J31" s="42">
        <f t="shared" si="2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B32" s="41" t="s">
        <v>148</v>
      </c>
      <c r="C32" s="41">
        <v>92.0</v>
      </c>
      <c r="D32" s="99" t="s">
        <v>40</v>
      </c>
      <c r="E32" s="5"/>
      <c r="F32" s="105" t="s">
        <v>42</v>
      </c>
      <c r="G32" s="107">
        <v>5000.0</v>
      </c>
      <c r="H32" s="130">
        <f>IFERROR(__xludf.DUMMYFUNCTION("SUMIF($D$2:$D$528, TO_TEXT(F32) ,$C$2:$C$528)"),5000.0)</f>
        <v>5000</v>
      </c>
      <c r="I32" s="41" t="b">
        <v>1</v>
      </c>
      <c r="J32" s="42">
        <f t="shared" si="2"/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08">
        <v>46176.0</v>
      </c>
      <c r="B33" s="41" t="s">
        <v>50</v>
      </c>
      <c r="C33" s="41">
        <v>32.0</v>
      </c>
      <c r="D33" s="99" t="s">
        <v>40</v>
      </c>
      <c r="E33" s="5"/>
      <c r="F33" s="41" t="s">
        <v>76</v>
      </c>
      <c r="G33" s="99">
        <v>1500.0</v>
      </c>
      <c r="H33" s="130">
        <f>IFERROR(__xludf.DUMMYFUNCTION("SUMIF($D$2:$D$528, TO_TEXT(F33) ,$C$2:$C$528)"),1249.0)</f>
        <v>1249</v>
      </c>
      <c r="I33" s="41" t="b">
        <v>1</v>
      </c>
      <c r="J33" s="42">
        <f t="shared" si="2"/>
        <v>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B34" s="41" t="s">
        <v>56</v>
      </c>
      <c r="C34" s="41">
        <v>16.0</v>
      </c>
      <c r="D34" s="99" t="s">
        <v>40</v>
      </c>
      <c r="E34" s="41"/>
      <c r="F34" s="105" t="s">
        <v>249</v>
      </c>
      <c r="G34" s="99">
        <v>1000.0</v>
      </c>
      <c r="H34" s="130">
        <f>IFERROR(__xludf.DUMMYFUNCTION("SUMIF($D$2:$D$528, TO_TEXT(F34) ,$C$2:$C$528)"),1000.0)</f>
        <v>1000</v>
      </c>
      <c r="I34" s="41" t="b">
        <v>1</v>
      </c>
      <c r="J34" s="42">
        <f t="shared" si="2"/>
        <v>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41" t="s">
        <v>241</v>
      </c>
      <c r="C35" s="44">
        <f>183-61-61</f>
        <v>61</v>
      </c>
      <c r="D35" s="99" t="s">
        <v>40</v>
      </c>
      <c r="E35" s="5"/>
      <c r="F35" s="105" t="s">
        <v>249</v>
      </c>
      <c r="G35" s="99">
        <v>1000.0</v>
      </c>
      <c r="H35" s="130">
        <f>IFERROR(__xludf.DUMMYFUNCTION("SUMIF($D$2:$D$528, TO_TEXT(F35) ,$C$2:$C$528)"),1000.0)</f>
        <v>1000</v>
      </c>
      <c r="I35" s="41" t="b">
        <v>1</v>
      </c>
      <c r="J35" s="42">
        <f t="shared" si="2"/>
        <v>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B36" s="41" t="s">
        <v>262</v>
      </c>
      <c r="C36" s="41">
        <v>96.0</v>
      </c>
      <c r="D36" s="99" t="s">
        <v>40</v>
      </c>
      <c r="E36" s="5"/>
      <c r="F36" s="41"/>
      <c r="G36" s="99"/>
      <c r="H36" s="130"/>
      <c r="I36" s="41"/>
      <c r="J36" s="42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B37" s="41" t="s">
        <v>263</v>
      </c>
      <c r="C37" s="41">
        <v>188.0</v>
      </c>
      <c r="D37" s="99" t="s">
        <v>48</v>
      </c>
      <c r="E37" s="5"/>
      <c r="F37" s="41"/>
      <c r="G37" s="99"/>
      <c r="H37" s="130"/>
      <c r="I37" s="41"/>
      <c r="J37" s="4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08">
        <v>46177.0</v>
      </c>
      <c r="B38" s="41" t="s">
        <v>235</v>
      </c>
      <c r="C38" s="41">
        <v>24.0</v>
      </c>
      <c r="D38" s="99" t="s">
        <v>40</v>
      </c>
      <c r="E38" s="41"/>
      <c r="F38" s="41"/>
      <c r="G38" s="99"/>
      <c r="H38" s="130"/>
      <c r="I38" s="99"/>
      <c r="J38" s="130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B39" s="41" t="s">
        <v>264</v>
      </c>
      <c r="C39" s="41">
        <v>60.0</v>
      </c>
      <c r="D39" s="99" t="s">
        <v>40</v>
      </c>
      <c r="E39" s="5"/>
      <c r="F39" s="41"/>
      <c r="G39" s="99"/>
      <c r="H39" s="130"/>
      <c r="I39" s="99"/>
      <c r="J39" s="130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B40" s="41" t="s">
        <v>265</v>
      </c>
      <c r="C40" s="41">
        <v>37.0</v>
      </c>
      <c r="D40" s="99" t="s">
        <v>40</v>
      </c>
      <c r="E40" s="41"/>
      <c r="F40" s="41"/>
      <c r="G40" s="99"/>
      <c r="H40" s="130"/>
      <c r="I40" s="99"/>
      <c r="J40" s="130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B41" s="41" t="s">
        <v>266</v>
      </c>
      <c r="C41" s="41">
        <v>83.0</v>
      </c>
      <c r="D41" s="99" t="s">
        <v>34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B42" s="41" t="s">
        <v>93</v>
      </c>
      <c r="C42" s="41">
        <v>56.0</v>
      </c>
      <c r="D42" s="99" t="s">
        <v>40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41" t="s">
        <v>267</v>
      </c>
      <c r="C43" s="41">
        <v>1000.0</v>
      </c>
      <c r="D43" s="99" t="s">
        <v>76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08">
        <v>46178.0</v>
      </c>
      <c r="B44" s="41" t="s">
        <v>268</v>
      </c>
      <c r="C44" s="41">
        <v>60.0</v>
      </c>
      <c r="D44" s="99" t="s">
        <v>40</v>
      </c>
      <c r="E44" s="5"/>
      <c r="F44" s="41"/>
      <c r="G44" s="99"/>
      <c r="H44" s="130"/>
      <c r="I44" s="99"/>
      <c r="J44" s="13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B45" s="41" t="s">
        <v>39</v>
      </c>
      <c r="C45" s="41">
        <v>83.0</v>
      </c>
      <c r="D45" s="99" t="s">
        <v>40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B46" s="41" t="s">
        <v>130</v>
      </c>
      <c r="C46" s="41">
        <v>65.0</v>
      </c>
      <c r="D46" s="99" t="s">
        <v>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08">
        <v>46179.0</v>
      </c>
      <c r="B47" s="41" t="s">
        <v>184</v>
      </c>
      <c r="C47" s="41">
        <v>960.0</v>
      </c>
      <c r="D47" s="99" t="s">
        <v>269</v>
      </c>
      <c r="E47" s="5"/>
      <c r="F47" s="41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B48" s="41" t="s">
        <v>222</v>
      </c>
      <c r="C48" s="41">
        <v>3500.0</v>
      </c>
      <c r="D48" s="99" t="s">
        <v>269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B49" s="41" t="s">
        <v>95</v>
      </c>
      <c r="C49" s="44">
        <f>100+76+73</f>
        <v>249</v>
      </c>
      <c r="D49" s="99" t="s">
        <v>76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B50" s="41" t="s">
        <v>270</v>
      </c>
      <c r="C50" s="41">
        <v>389.0</v>
      </c>
      <c r="D50" s="99" t="s">
        <v>40</v>
      </c>
      <c r="E50" s="4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B51" s="41" t="s">
        <v>271</v>
      </c>
      <c r="C51" s="41">
        <v>171.0</v>
      </c>
      <c r="D51" s="99" t="s">
        <v>40</v>
      </c>
      <c r="E51" s="4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B52" s="41" t="s">
        <v>272</v>
      </c>
      <c r="C52" s="44">
        <f>105+30+30+17</f>
        <v>182</v>
      </c>
      <c r="D52" s="99" t="s">
        <v>40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8">
        <v>46180.0</v>
      </c>
      <c r="B53" s="41" t="s">
        <v>60</v>
      </c>
      <c r="C53" s="41">
        <v>160.0</v>
      </c>
      <c r="D53" s="99" t="s">
        <v>40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B54" s="41" t="s">
        <v>91</v>
      </c>
      <c r="C54" s="41">
        <v>30.0</v>
      </c>
      <c r="D54" s="99" t="s">
        <v>40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41" t="s">
        <v>56</v>
      </c>
      <c r="C55" s="41">
        <v>12.0</v>
      </c>
      <c r="D55" s="99" t="s">
        <v>40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B56" s="41" t="s">
        <v>273</v>
      </c>
      <c r="C56" s="41">
        <v>108.0</v>
      </c>
      <c r="D56" s="99" t="s">
        <v>40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98">
        <v>46181.0</v>
      </c>
      <c r="B57" s="41" t="s">
        <v>56</v>
      </c>
      <c r="C57" s="41">
        <v>16.0</v>
      </c>
      <c r="D57" s="99" t="s">
        <v>40</v>
      </c>
      <c r="E57" s="4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B58" s="41" t="s">
        <v>274</v>
      </c>
      <c r="C58" s="41">
        <v>25.0</v>
      </c>
      <c r="D58" s="99" t="s">
        <v>40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B59" s="41" t="s">
        <v>133</v>
      </c>
      <c r="C59" s="41">
        <v>38.0</v>
      </c>
      <c r="D59" s="99" t="s">
        <v>40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B60" s="41" t="s">
        <v>275</v>
      </c>
      <c r="C60" s="41">
        <v>88.0</v>
      </c>
      <c r="D60" s="99" t="s">
        <v>40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B61" s="41" t="s">
        <v>146</v>
      </c>
      <c r="C61" s="41">
        <v>40.0</v>
      </c>
      <c r="D61" s="99" t="s">
        <v>40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98">
        <v>46182.0</v>
      </c>
      <c r="B62" s="41" t="s">
        <v>93</v>
      </c>
      <c r="C62" s="41">
        <v>83.0</v>
      </c>
      <c r="D62" s="99" t="s">
        <v>40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B63" s="41" t="s">
        <v>152</v>
      </c>
      <c r="C63" s="41">
        <v>16.0</v>
      </c>
      <c r="D63" s="99" t="s">
        <v>40</v>
      </c>
      <c r="E63" s="4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B64" s="41" t="s">
        <v>122</v>
      </c>
      <c r="C64" s="44">
        <f>173-43-43-43-14</f>
        <v>30</v>
      </c>
      <c r="D64" s="99" t="s">
        <v>40</v>
      </c>
      <c r="E64" s="4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98">
        <v>46183.0</v>
      </c>
      <c r="B65" s="41" t="s">
        <v>89</v>
      </c>
      <c r="C65" s="41">
        <v>20.0</v>
      </c>
      <c r="D65" s="99" t="s">
        <v>40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B66" s="41" t="s">
        <v>136</v>
      </c>
      <c r="C66" s="41">
        <v>17.0</v>
      </c>
      <c r="D66" s="99" t="s">
        <v>40</v>
      </c>
      <c r="E66" s="4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B67" s="41" t="s">
        <v>276</v>
      </c>
      <c r="C67" s="41">
        <v>315.0</v>
      </c>
      <c r="D67" s="99" t="s">
        <v>40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B68" s="41" t="s">
        <v>275</v>
      </c>
      <c r="C68" s="41">
        <v>88.0</v>
      </c>
      <c r="D68" s="99" t="s">
        <v>40</v>
      </c>
      <c r="E68" s="4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B69" s="41" t="s">
        <v>277</v>
      </c>
      <c r="C69" s="41">
        <v>389.0</v>
      </c>
      <c r="D69" s="99" t="s">
        <v>269</v>
      </c>
      <c r="E69" s="4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B70" s="41" t="s">
        <v>148</v>
      </c>
      <c r="C70" s="41">
        <v>26.0</v>
      </c>
      <c r="D70" s="99" t="s">
        <v>40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41" t="s">
        <v>166</v>
      </c>
      <c r="C71" s="41">
        <v>55.0</v>
      </c>
      <c r="D71" s="99" t="s">
        <v>40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98">
        <v>46184.0</v>
      </c>
      <c r="B72" s="41" t="s">
        <v>50</v>
      </c>
      <c r="C72" s="41">
        <v>38.0</v>
      </c>
      <c r="D72" s="99" t="s">
        <v>40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B73" s="41" t="s">
        <v>56</v>
      </c>
      <c r="C73" s="41">
        <v>16.0</v>
      </c>
      <c r="D73" s="99" t="s">
        <v>40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41" t="s">
        <v>278</v>
      </c>
      <c r="C74" s="41">
        <v>902.0</v>
      </c>
      <c r="D74" s="99" t="s">
        <v>48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B75" s="41" t="s">
        <v>80</v>
      </c>
      <c r="C75" s="44">
        <f>183+35</f>
        <v>218</v>
      </c>
      <c r="D75" s="99" t="s">
        <v>40</v>
      </c>
      <c r="E75" s="4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41" t="s">
        <v>56</v>
      </c>
      <c r="C76" s="41">
        <v>15.0</v>
      </c>
      <c r="D76" s="99" t="s">
        <v>40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B77" s="41" t="s">
        <v>184</v>
      </c>
      <c r="C77" s="41">
        <v>370.0</v>
      </c>
      <c r="D77" s="99" t="s">
        <v>269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98">
        <v>46185.0</v>
      </c>
      <c r="B78" s="41" t="s">
        <v>50</v>
      </c>
      <c r="C78" s="41">
        <v>30.0</v>
      </c>
      <c r="D78" s="99" t="s">
        <v>40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B79" s="41" t="s">
        <v>130</v>
      </c>
      <c r="C79" s="41">
        <v>81.0</v>
      </c>
      <c r="D79" s="99" t="s">
        <v>40</v>
      </c>
      <c r="E79" s="4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B80" s="41" t="s">
        <v>279</v>
      </c>
      <c r="C80" s="41">
        <v>70.0</v>
      </c>
      <c r="D80" s="99" t="s">
        <v>40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B81" s="41" t="s">
        <v>41</v>
      </c>
      <c r="C81" s="41">
        <v>1500.0</v>
      </c>
      <c r="D81" s="99" t="s">
        <v>101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98">
        <v>46186.0</v>
      </c>
      <c r="B82" s="41" t="s">
        <v>74</v>
      </c>
      <c r="C82" s="41">
        <v>18.0</v>
      </c>
      <c r="D82" s="99" t="s">
        <v>40</v>
      </c>
      <c r="E82" s="4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B83" s="41" t="s">
        <v>148</v>
      </c>
      <c r="C83" s="41">
        <v>94.0</v>
      </c>
      <c r="D83" s="99" t="s">
        <v>40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41" t="s">
        <v>280</v>
      </c>
      <c r="C84" s="41">
        <v>84.0</v>
      </c>
      <c r="D84" s="99" t="s">
        <v>40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B85" s="41" t="s">
        <v>281</v>
      </c>
      <c r="C85" s="41">
        <v>100.0</v>
      </c>
      <c r="D85" s="99" t="s">
        <v>40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B86" s="41" t="s">
        <v>282</v>
      </c>
      <c r="C86" s="5">
        <f>164+32+29</f>
        <v>225</v>
      </c>
      <c r="D86" s="99" t="s">
        <v>40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B87" s="41" t="s">
        <v>56</v>
      </c>
      <c r="C87" s="41">
        <v>35.0</v>
      </c>
      <c r="D87" s="99" t="s">
        <v>40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B88" s="41" t="s">
        <v>283</v>
      </c>
      <c r="C88" s="41">
        <v>120.0</v>
      </c>
      <c r="D88" s="99" t="s">
        <v>40</v>
      </c>
      <c r="E88" s="4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B89" s="41" t="s">
        <v>284</v>
      </c>
      <c r="C89" s="41">
        <v>1400.0</v>
      </c>
      <c r="D89" s="99" t="s">
        <v>269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B90" s="41" t="s">
        <v>285</v>
      </c>
      <c r="C90" s="41">
        <v>60.0</v>
      </c>
      <c r="D90" s="99" t="s">
        <v>40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B91" s="41" t="s">
        <v>286</v>
      </c>
      <c r="C91" s="41">
        <v>41.0</v>
      </c>
      <c r="D91" s="99" t="s">
        <v>40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41" t="s">
        <v>287</v>
      </c>
      <c r="C92" s="41">
        <v>15.0</v>
      </c>
      <c r="D92" s="99" t="s">
        <v>40</v>
      </c>
      <c r="E92" s="4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B93" s="41" t="s">
        <v>288</v>
      </c>
      <c r="C93" s="41">
        <v>55.0</v>
      </c>
      <c r="D93" s="99" t="s">
        <v>40</v>
      </c>
      <c r="E93" s="4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B94" s="41" t="s">
        <v>289</v>
      </c>
      <c r="C94" s="41">
        <v>2500.0</v>
      </c>
      <c r="D94" s="99" t="s">
        <v>269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B95" s="41" t="s">
        <v>290</v>
      </c>
      <c r="C95" s="41">
        <v>486.0</v>
      </c>
      <c r="D95" s="99" t="s">
        <v>269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B96" s="41" t="s">
        <v>291</v>
      </c>
      <c r="C96" s="41">
        <v>1500.0</v>
      </c>
      <c r="D96" s="99" t="s">
        <v>269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98">
        <v>46187.0</v>
      </c>
      <c r="B97" s="41" t="s">
        <v>292</v>
      </c>
      <c r="C97" s="41">
        <v>0.0</v>
      </c>
      <c r="D97" s="99" t="s">
        <v>40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98">
        <v>46188.0</v>
      </c>
      <c r="B98" s="41" t="s">
        <v>292</v>
      </c>
      <c r="C98" s="41">
        <v>0.0</v>
      </c>
      <c r="D98" s="99" t="s">
        <v>40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B99" s="41" t="s">
        <v>66</v>
      </c>
      <c r="C99" s="41">
        <v>5850.0</v>
      </c>
      <c r="D99" s="99" t="s">
        <v>66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98">
        <v>46189.0</v>
      </c>
      <c r="B100" s="41" t="s">
        <v>12</v>
      </c>
      <c r="C100" s="41">
        <v>5000.0</v>
      </c>
      <c r="D100" s="99" t="s">
        <v>12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B101" s="41" t="s">
        <v>56</v>
      </c>
      <c r="C101" s="41">
        <v>32.0</v>
      </c>
      <c r="D101" s="99" t="s">
        <v>40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B102" s="41" t="s">
        <v>293</v>
      </c>
      <c r="C102" s="41">
        <v>222.0</v>
      </c>
      <c r="D102" s="99" t="s">
        <v>48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B103" s="41" t="s">
        <v>294</v>
      </c>
      <c r="C103" s="41">
        <v>27.0</v>
      </c>
      <c r="D103" s="99" t="s">
        <v>40</v>
      </c>
      <c r="E103" s="4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B104" s="41" t="s">
        <v>172</v>
      </c>
      <c r="C104" s="41">
        <v>44.0</v>
      </c>
      <c r="D104" s="99" t="s">
        <v>40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B105" s="41" t="s">
        <v>295</v>
      </c>
      <c r="C105" s="41">
        <v>115.0</v>
      </c>
      <c r="D105" s="99" t="s">
        <v>40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B106" s="41" t="s">
        <v>296</v>
      </c>
      <c r="C106" s="41">
        <v>65.0</v>
      </c>
      <c r="D106" s="99" t="s">
        <v>40</v>
      </c>
      <c r="E106" s="4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98">
        <v>46190.0</v>
      </c>
      <c r="B107" s="41" t="s">
        <v>297</v>
      </c>
      <c r="C107" s="41">
        <v>14.0</v>
      </c>
      <c r="D107" s="99" t="s">
        <v>40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B108" s="41" t="s">
        <v>80</v>
      </c>
      <c r="C108" s="41">
        <v>105.0</v>
      </c>
      <c r="D108" s="99" t="s">
        <v>40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B109" s="41" t="s">
        <v>82</v>
      </c>
      <c r="C109" s="41">
        <v>42.0</v>
      </c>
      <c r="D109" s="99" t="s">
        <v>40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B110" s="41" t="s">
        <v>298</v>
      </c>
      <c r="C110" s="41">
        <v>1586.0</v>
      </c>
      <c r="D110" s="99" t="s">
        <v>190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B111" s="41" t="s">
        <v>279</v>
      </c>
      <c r="C111" s="41">
        <v>62.0</v>
      </c>
      <c r="D111" s="99" t="s">
        <v>40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41" t="s">
        <v>148</v>
      </c>
      <c r="C112" s="41">
        <v>61.0</v>
      </c>
      <c r="D112" s="99" t="s">
        <v>40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98">
        <v>46191.0</v>
      </c>
      <c r="B113" s="41" t="s">
        <v>299</v>
      </c>
      <c r="C113" s="5">
        <f>15+67+20</f>
        <v>102</v>
      </c>
      <c r="D113" s="99" t="s">
        <v>40</v>
      </c>
      <c r="E113" s="4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98">
        <v>46192.0</v>
      </c>
      <c r="B114" s="41" t="s">
        <v>300</v>
      </c>
      <c r="C114" s="5">
        <f>833+100</f>
        <v>933</v>
      </c>
      <c r="D114" s="99" t="s">
        <v>190</v>
      </c>
      <c r="E114" s="4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98">
        <v>46193.0</v>
      </c>
      <c r="B115" s="41" t="s">
        <v>299</v>
      </c>
      <c r="C115" s="5">
        <f>50</f>
        <v>50</v>
      </c>
      <c r="D115" s="99" t="s">
        <v>40</v>
      </c>
      <c r="E115" s="4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B116" s="41" t="s">
        <v>172</v>
      </c>
      <c r="C116" s="41">
        <v>30.0</v>
      </c>
      <c r="D116" s="99" t="s">
        <v>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B117" s="41" t="s">
        <v>148</v>
      </c>
      <c r="C117" s="41">
        <v>18.0</v>
      </c>
      <c r="D117" s="99" t="s">
        <v>40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B118" s="41" t="s">
        <v>301</v>
      </c>
      <c r="C118" s="41">
        <v>35.0</v>
      </c>
      <c r="D118" s="99" t="s">
        <v>40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98">
        <v>46194.0</v>
      </c>
      <c r="B119" s="41" t="s">
        <v>302</v>
      </c>
      <c r="C119" s="41">
        <v>500.0</v>
      </c>
      <c r="D119" s="99" t="s">
        <v>40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B120" s="41" t="s">
        <v>167</v>
      </c>
      <c r="C120" s="41">
        <v>20.0</v>
      </c>
      <c r="D120" s="99" t="s">
        <v>40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B121" s="41" t="s">
        <v>303</v>
      </c>
      <c r="C121" s="41">
        <v>64.0</v>
      </c>
      <c r="D121" s="99" t="s">
        <v>40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B122" s="41" t="s">
        <v>130</v>
      </c>
      <c r="C122" s="41">
        <v>44.0</v>
      </c>
      <c r="D122" s="99" t="s">
        <v>40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B123" s="41" t="s">
        <v>148</v>
      </c>
      <c r="C123" s="41">
        <v>26.0</v>
      </c>
      <c r="D123" s="99" t="s">
        <v>40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98">
        <v>46195.0</v>
      </c>
      <c r="B124" s="41" t="s">
        <v>56</v>
      </c>
      <c r="C124" s="41">
        <v>16.0</v>
      </c>
      <c r="D124" s="99" t="s">
        <v>40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B125" s="41" t="s">
        <v>80</v>
      </c>
      <c r="C125" s="5">
        <f>233+10-30-83-30</f>
        <v>100</v>
      </c>
      <c r="D125" s="99" t="s">
        <v>40</v>
      </c>
      <c r="E125" s="41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98">
        <v>46196.0</v>
      </c>
      <c r="B126" s="41" t="s">
        <v>56</v>
      </c>
      <c r="C126" s="41">
        <v>16.0</v>
      </c>
      <c r="D126" s="99" t="s">
        <v>40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B127" s="41" t="s">
        <v>304</v>
      </c>
      <c r="C127" s="5">
        <f>144-34-31-34</f>
        <v>45</v>
      </c>
      <c r="D127" s="99" t="s">
        <v>40</v>
      </c>
      <c r="E127" s="41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B128" s="41" t="s">
        <v>305</v>
      </c>
      <c r="C128" s="41">
        <v>76.0</v>
      </c>
      <c r="D128" s="99" t="s">
        <v>40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98">
        <v>46197.0</v>
      </c>
      <c r="B129" s="30" t="s">
        <v>56</v>
      </c>
      <c r="C129" s="131">
        <v>16.0</v>
      </c>
      <c r="D129" s="99" t="s">
        <v>40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B130" s="30" t="s">
        <v>306</v>
      </c>
      <c r="C130" s="131">
        <v>169.0</v>
      </c>
      <c r="D130" s="99" t="s">
        <v>40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98">
        <v>46198.0</v>
      </c>
      <c r="B131" s="30" t="s">
        <v>56</v>
      </c>
      <c r="C131" s="131">
        <v>16.0</v>
      </c>
      <c r="D131" s="99" t="s">
        <v>40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B132" s="30" t="s">
        <v>307</v>
      </c>
      <c r="C132" s="131">
        <v>70.0</v>
      </c>
      <c r="D132" s="99" t="s">
        <v>40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B133" s="30" t="s">
        <v>133</v>
      </c>
      <c r="C133" s="131">
        <v>14.0</v>
      </c>
      <c r="D133" s="99" t="s">
        <v>40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B134" s="30" t="s">
        <v>308</v>
      </c>
      <c r="C134" s="131">
        <v>732.0</v>
      </c>
      <c r="D134" s="99" t="s">
        <v>72</v>
      </c>
      <c r="E134" s="4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B135" s="132" t="s">
        <v>309</v>
      </c>
      <c r="C135" s="131">
        <v>56.0</v>
      </c>
      <c r="D135" s="99" t="s">
        <v>40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B136" s="132" t="s">
        <v>82</v>
      </c>
      <c r="C136" s="131">
        <v>30.0</v>
      </c>
      <c r="D136" s="99" t="s">
        <v>40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B137" s="132" t="s">
        <v>37</v>
      </c>
      <c r="C137" s="131">
        <v>50.0</v>
      </c>
      <c r="D137" s="99" t="s">
        <v>40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98">
        <v>46199.0</v>
      </c>
      <c r="B138" s="132" t="s">
        <v>56</v>
      </c>
      <c r="C138" s="131">
        <v>16.0</v>
      </c>
      <c r="D138" s="99" t="s">
        <v>40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B139" s="132" t="s">
        <v>148</v>
      </c>
      <c r="C139" s="131">
        <v>14.0</v>
      </c>
      <c r="D139" s="99" t="s">
        <v>40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B140" s="132" t="s">
        <v>41</v>
      </c>
      <c r="C140" s="131">
        <v>1000.0</v>
      </c>
      <c r="D140" s="99" t="s">
        <v>101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98">
        <v>46200.0</v>
      </c>
      <c r="B141" s="132" t="s">
        <v>89</v>
      </c>
      <c r="C141" s="131">
        <v>20.0</v>
      </c>
      <c r="D141" s="99" t="s">
        <v>40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B142" s="132" t="s">
        <v>50</v>
      </c>
      <c r="C142" s="131">
        <v>30.0</v>
      </c>
      <c r="D142" s="99" t="s">
        <v>40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B143" s="132" t="s">
        <v>91</v>
      </c>
      <c r="C143" s="131">
        <v>40.0</v>
      </c>
      <c r="D143" s="99" t="s">
        <v>40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B144" s="132" t="s">
        <v>310</v>
      </c>
      <c r="C144" s="131">
        <v>22.0</v>
      </c>
      <c r="D144" s="99" t="s">
        <v>40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33"/>
      <c r="B145" s="134"/>
      <c r="C145" s="131"/>
      <c r="D145" s="99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33"/>
      <c r="B146" s="134"/>
      <c r="C146" s="131"/>
      <c r="D146" s="99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33"/>
      <c r="B147" s="134"/>
      <c r="C147" s="131"/>
      <c r="D147" s="99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33"/>
      <c r="B148" s="134"/>
      <c r="C148" s="131"/>
      <c r="D148" s="99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40"/>
      <c r="C149" s="131"/>
      <c r="D149" s="99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40"/>
      <c r="C150" s="131"/>
      <c r="D150" s="99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40"/>
      <c r="C151" s="131"/>
      <c r="D151" s="99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40"/>
      <c r="C152" s="131"/>
      <c r="D152" s="13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40"/>
      <c r="C153" s="131"/>
      <c r="D153" s="4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40"/>
      <c r="C154" s="131"/>
      <c r="D154" s="4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40"/>
      <c r="C155" s="131"/>
      <c r="D155" s="4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40"/>
      <c r="C156" s="131"/>
      <c r="D156" s="4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40"/>
      <c r="C157" s="131"/>
      <c r="D157" s="4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40"/>
      <c r="C158" s="131"/>
      <c r="D158" s="4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40"/>
      <c r="C159" s="131"/>
      <c r="D159" s="4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40"/>
      <c r="C160" s="131"/>
      <c r="D160" s="4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40"/>
      <c r="C161" s="131"/>
      <c r="D161" s="4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40"/>
      <c r="C162" s="131"/>
      <c r="D162" s="4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40"/>
      <c r="C163" s="131"/>
      <c r="D163" s="4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40"/>
      <c r="C164" s="131"/>
      <c r="D164" s="4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40"/>
      <c r="C165" s="131"/>
      <c r="D165" s="4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40"/>
      <c r="C166" s="131"/>
      <c r="D166" s="4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40"/>
      <c r="C167" s="131"/>
      <c r="D167" s="4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40"/>
      <c r="C168" s="131"/>
      <c r="D168" s="4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40"/>
      <c r="C169" s="131"/>
      <c r="D169" s="4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40"/>
      <c r="C170" s="131"/>
      <c r="D170" s="4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40"/>
      <c r="C171" s="131"/>
      <c r="D171" s="4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40"/>
      <c r="C172" s="131"/>
      <c r="D172" s="4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40"/>
      <c r="C173" s="131"/>
      <c r="D173" s="4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40"/>
      <c r="C174" s="131"/>
      <c r="D174" s="4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40"/>
      <c r="C175" s="131"/>
      <c r="D175" s="4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40"/>
      <c r="C176" s="131"/>
      <c r="D176" s="4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40"/>
      <c r="C177" s="131"/>
      <c r="D177" s="4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40"/>
      <c r="C178" s="131"/>
      <c r="D178" s="4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40"/>
      <c r="C179" s="131"/>
      <c r="D179" s="4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40"/>
      <c r="C180" s="131"/>
      <c r="D180" s="4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40"/>
      <c r="C181" s="131"/>
      <c r="D181" s="4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40"/>
      <c r="C182" s="131"/>
      <c r="D182" s="4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40"/>
      <c r="C183" s="131"/>
      <c r="D183" s="4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40"/>
      <c r="C184" s="131"/>
      <c r="D184" s="4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40"/>
      <c r="C185" s="131"/>
      <c r="D185" s="4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40"/>
      <c r="C186" s="131"/>
      <c r="D186" s="4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40"/>
      <c r="C187" s="131"/>
      <c r="D187" s="4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40"/>
      <c r="C188" s="131"/>
      <c r="D188" s="4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40"/>
      <c r="C189" s="131"/>
      <c r="D189" s="4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40"/>
      <c r="C190" s="131"/>
      <c r="D190" s="4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40"/>
      <c r="C191" s="131"/>
      <c r="D191" s="4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40"/>
      <c r="C192" s="131"/>
      <c r="D192" s="4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40"/>
      <c r="C193" s="131"/>
      <c r="D193" s="4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40"/>
      <c r="C194" s="131"/>
      <c r="D194" s="4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40"/>
      <c r="C195" s="131"/>
      <c r="D195" s="4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40"/>
      <c r="C196" s="131"/>
      <c r="D196" s="4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40"/>
      <c r="C197" s="131"/>
      <c r="D197" s="4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40"/>
      <c r="C198" s="131"/>
      <c r="D198" s="4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40"/>
      <c r="C199" s="131"/>
      <c r="D199" s="4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40"/>
      <c r="C200" s="131"/>
      <c r="D200" s="4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40"/>
      <c r="C201" s="131"/>
      <c r="D201" s="4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40"/>
      <c r="C202" s="131"/>
      <c r="D202" s="4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40"/>
      <c r="C203" s="131"/>
      <c r="D203" s="4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40"/>
      <c r="C204" s="131"/>
      <c r="D204" s="4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40"/>
      <c r="C205" s="131"/>
      <c r="D205" s="4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40"/>
      <c r="C206" s="131"/>
      <c r="D206" s="4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40"/>
      <c r="C207" s="131"/>
      <c r="D207" s="4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40"/>
      <c r="C208" s="131"/>
      <c r="D208" s="4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40"/>
      <c r="C209" s="131"/>
      <c r="D209" s="4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40"/>
      <c r="C210" s="131"/>
      <c r="D210" s="4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40"/>
      <c r="C211" s="131"/>
      <c r="D211" s="4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40"/>
      <c r="C212" s="131"/>
      <c r="D212" s="4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40"/>
      <c r="C213" s="131"/>
      <c r="D213" s="4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40"/>
      <c r="C214" s="131"/>
      <c r="D214" s="4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40"/>
      <c r="C215" s="131"/>
      <c r="D215" s="4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40"/>
      <c r="C216" s="131"/>
      <c r="D216" s="4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40"/>
      <c r="C217" s="131"/>
      <c r="D217" s="4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40"/>
      <c r="C218" s="131"/>
      <c r="D218" s="4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40"/>
      <c r="C219" s="131"/>
      <c r="D219" s="4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40"/>
      <c r="C220" s="131"/>
      <c r="D220" s="4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40"/>
      <c r="C221" s="131"/>
      <c r="D221" s="4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40"/>
      <c r="C222" s="131"/>
      <c r="D222" s="4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40"/>
      <c r="C223" s="131"/>
      <c r="D223" s="4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40"/>
      <c r="C224" s="131"/>
      <c r="D224" s="4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40"/>
      <c r="C225" s="131"/>
      <c r="D225" s="4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40"/>
      <c r="C226" s="136"/>
      <c r="D226" s="4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40"/>
      <c r="C227" s="136"/>
      <c r="D227" s="4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40"/>
      <c r="C228" s="136"/>
      <c r="D228" s="4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40"/>
      <c r="C229" s="136"/>
      <c r="D229" s="4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40"/>
      <c r="C230" s="136"/>
      <c r="D230" s="4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40"/>
      <c r="C231" s="136"/>
      <c r="D231" s="4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40"/>
      <c r="C232" s="136"/>
      <c r="D232" s="4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40"/>
      <c r="C233" s="136"/>
      <c r="D233" s="4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40"/>
      <c r="C234" s="136"/>
      <c r="D234" s="4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40"/>
      <c r="C235" s="136"/>
      <c r="D235" s="4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40"/>
      <c r="C236" s="136"/>
      <c r="D236" s="4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40"/>
      <c r="C237" s="136"/>
      <c r="D237" s="4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40"/>
      <c r="C238" s="136"/>
      <c r="D238" s="4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40"/>
      <c r="C239" s="136"/>
      <c r="D239" s="4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40"/>
      <c r="C240" s="136"/>
      <c r="D240" s="4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40"/>
      <c r="C241" s="136"/>
      <c r="D241" s="4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40"/>
      <c r="C242" s="136"/>
      <c r="D242" s="4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40"/>
      <c r="C243" s="136"/>
      <c r="D243" s="4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40"/>
      <c r="C244" s="136"/>
      <c r="D244" s="4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40"/>
      <c r="C245" s="136"/>
      <c r="D245" s="4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40"/>
      <c r="C246" s="136"/>
      <c r="D246" s="4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40"/>
      <c r="C247" s="136"/>
      <c r="D247" s="4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40"/>
      <c r="C248" s="136"/>
      <c r="D248" s="4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40"/>
      <c r="C249" s="136"/>
      <c r="D249" s="4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40"/>
      <c r="C250" s="136"/>
      <c r="D250" s="4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40"/>
      <c r="C251" s="136"/>
      <c r="D251" s="4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40"/>
      <c r="C252" s="136"/>
      <c r="D252" s="4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40"/>
      <c r="C253" s="136"/>
      <c r="D253" s="4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40"/>
      <c r="C254" s="136"/>
      <c r="D254" s="4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40"/>
      <c r="C255" s="136"/>
      <c r="D255" s="4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40"/>
      <c r="C256" s="136"/>
      <c r="D256" s="4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40"/>
      <c r="C257" s="136"/>
      <c r="D257" s="4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40"/>
      <c r="C258" s="136"/>
      <c r="D258" s="4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40"/>
      <c r="C259" s="136"/>
      <c r="D259" s="4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40"/>
      <c r="C260" s="136"/>
      <c r="D260" s="4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40"/>
      <c r="C261" s="136"/>
      <c r="D261" s="4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40"/>
      <c r="C262" s="136"/>
      <c r="D262" s="4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40"/>
      <c r="C263" s="136"/>
      <c r="D263" s="4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40"/>
      <c r="C264" s="136"/>
      <c r="D264" s="4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40"/>
      <c r="C265" s="136"/>
      <c r="D265" s="4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40"/>
      <c r="C266" s="136"/>
      <c r="D266" s="4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40"/>
      <c r="C267" s="136"/>
      <c r="D267" s="4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40"/>
      <c r="C268" s="136"/>
      <c r="D268" s="4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40"/>
      <c r="C269" s="136"/>
      <c r="D269" s="4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40"/>
      <c r="C270" s="136"/>
      <c r="D270" s="4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40"/>
      <c r="C271" s="136"/>
      <c r="D271" s="4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40"/>
      <c r="C272" s="136"/>
      <c r="D272" s="4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40"/>
      <c r="C273" s="136"/>
      <c r="D273" s="4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40"/>
      <c r="C274" s="136"/>
      <c r="D274" s="4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40"/>
      <c r="C275" s="136"/>
      <c r="D275" s="4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40"/>
      <c r="C276" s="136"/>
      <c r="D276" s="4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40"/>
      <c r="C277" s="136"/>
      <c r="D277" s="4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40"/>
      <c r="C278" s="136"/>
      <c r="D278" s="4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40"/>
      <c r="C279" s="136"/>
      <c r="D279" s="4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40"/>
      <c r="C280" s="136"/>
      <c r="D280" s="4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40"/>
      <c r="C281" s="136"/>
      <c r="D281" s="4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40"/>
      <c r="C282" s="136"/>
      <c r="D282" s="4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40"/>
      <c r="C283" s="136"/>
      <c r="D283" s="4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40"/>
      <c r="C284" s="136"/>
      <c r="D284" s="4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40"/>
      <c r="C285" s="136"/>
      <c r="D285" s="4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40"/>
      <c r="C286" s="136"/>
      <c r="D286" s="4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40"/>
      <c r="C287" s="136"/>
      <c r="D287" s="4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40"/>
      <c r="C288" s="136"/>
      <c r="D288" s="4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40"/>
      <c r="C289" s="136"/>
      <c r="D289" s="4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40"/>
      <c r="C290" s="136"/>
      <c r="D290" s="4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40"/>
      <c r="C291" s="136"/>
      <c r="D291" s="4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40"/>
      <c r="C292" s="136"/>
      <c r="D292" s="4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40"/>
      <c r="C293" s="136"/>
      <c r="D293" s="4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40"/>
      <c r="C294" s="136"/>
      <c r="D294" s="4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40"/>
      <c r="C295" s="136"/>
      <c r="D295" s="4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40"/>
      <c r="C296" s="136"/>
      <c r="D296" s="4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40"/>
      <c r="C297" s="136"/>
      <c r="D297" s="4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40"/>
      <c r="C298" s="136"/>
      <c r="D298" s="4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40"/>
      <c r="C299" s="136"/>
      <c r="D299" s="4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40"/>
      <c r="C300" s="136"/>
      <c r="D300" s="4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40"/>
      <c r="C301" s="136"/>
      <c r="D301" s="4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40"/>
      <c r="C302" s="136"/>
      <c r="D302" s="4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40"/>
      <c r="C303" s="136"/>
      <c r="D303" s="4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40"/>
      <c r="C304" s="136"/>
      <c r="D304" s="4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40"/>
      <c r="C305" s="136"/>
      <c r="D305" s="4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40"/>
      <c r="C306" s="136"/>
      <c r="D306" s="4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40"/>
      <c r="C307" s="136"/>
      <c r="D307" s="4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40"/>
      <c r="C308" s="136"/>
      <c r="D308" s="4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40"/>
      <c r="C309" s="136"/>
      <c r="D309" s="4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40"/>
      <c r="C310" s="136"/>
      <c r="D310" s="4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40"/>
      <c r="C311" s="136"/>
      <c r="D311" s="4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40"/>
      <c r="C312" s="136"/>
      <c r="D312" s="4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40"/>
      <c r="C313" s="136"/>
      <c r="D313" s="4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40"/>
      <c r="C314" s="136"/>
      <c r="D314" s="4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40"/>
      <c r="C315" s="136"/>
      <c r="D315" s="4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40"/>
      <c r="C316" s="136"/>
      <c r="D316" s="4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40"/>
      <c r="C317" s="136"/>
      <c r="D317" s="4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40"/>
      <c r="C318" s="136"/>
      <c r="D318" s="4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40"/>
      <c r="C319" s="136"/>
      <c r="D319" s="4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40"/>
      <c r="C320" s="136"/>
      <c r="D320" s="4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40"/>
      <c r="C321" s="136"/>
      <c r="D321" s="4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40"/>
      <c r="C322" s="136"/>
      <c r="D322" s="4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40"/>
      <c r="C323" s="136"/>
      <c r="D323" s="4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40"/>
      <c r="C324" s="136"/>
      <c r="D324" s="4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40"/>
      <c r="C325" s="136"/>
      <c r="D325" s="4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40"/>
      <c r="C326" s="136"/>
      <c r="D326" s="4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40"/>
      <c r="C327" s="136"/>
      <c r="D327" s="4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40"/>
      <c r="C328" s="136"/>
      <c r="D328" s="4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40"/>
      <c r="C329" s="136"/>
      <c r="D329" s="4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40"/>
      <c r="C330" s="136"/>
      <c r="D330" s="4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40"/>
      <c r="C331" s="136"/>
      <c r="D331" s="4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40"/>
      <c r="C332" s="136"/>
      <c r="D332" s="4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40"/>
      <c r="C333" s="136"/>
      <c r="D333" s="4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40"/>
      <c r="C334" s="136"/>
      <c r="D334" s="4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40"/>
      <c r="C335" s="136"/>
      <c r="D335" s="4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40"/>
      <c r="C336" s="136"/>
      <c r="D336" s="4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40"/>
      <c r="C337" s="136"/>
      <c r="D337" s="4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40"/>
      <c r="C338" s="136"/>
      <c r="D338" s="4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40"/>
      <c r="C339" s="136"/>
      <c r="D339" s="4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40"/>
      <c r="C340" s="136"/>
      <c r="D340" s="4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40"/>
      <c r="C341" s="136"/>
      <c r="D341" s="4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40"/>
      <c r="C342" s="136"/>
      <c r="D342" s="4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40"/>
      <c r="C343" s="136"/>
      <c r="D343" s="4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40"/>
      <c r="C344" s="136"/>
      <c r="D344" s="4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40"/>
      <c r="C345" s="136"/>
      <c r="D345" s="4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40"/>
      <c r="C346" s="136"/>
      <c r="D346" s="4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40"/>
      <c r="C347" s="136"/>
      <c r="D347" s="4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40"/>
      <c r="C348" s="136"/>
      <c r="D348" s="4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40"/>
      <c r="C349" s="136"/>
      <c r="D349" s="4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40"/>
      <c r="C350" s="136"/>
      <c r="D350" s="4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40"/>
      <c r="C351" s="136"/>
      <c r="D351" s="4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40"/>
      <c r="C352" s="136"/>
      <c r="D352" s="4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40"/>
      <c r="C353" s="136"/>
      <c r="D353" s="4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40"/>
      <c r="C354" s="136"/>
      <c r="D354" s="4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40"/>
      <c r="C355" s="136"/>
      <c r="D355" s="4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40"/>
      <c r="C356" s="136"/>
      <c r="D356" s="4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40"/>
      <c r="C357" s="136"/>
      <c r="D357" s="4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40"/>
      <c r="C358" s="136"/>
      <c r="D358" s="4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40"/>
      <c r="C359" s="136"/>
      <c r="D359" s="4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40"/>
      <c r="C360" s="136"/>
      <c r="D360" s="4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40"/>
      <c r="C361" s="136"/>
      <c r="D361" s="4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40"/>
      <c r="C362" s="136"/>
      <c r="D362" s="4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40"/>
      <c r="C363" s="136"/>
      <c r="D363" s="4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40"/>
      <c r="C364" s="136"/>
      <c r="D364" s="4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40"/>
      <c r="C365" s="136"/>
      <c r="D365" s="4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40"/>
      <c r="C366" s="136"/>
      <c r="D366" s="4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40"/>
      <c r="C367" s="136"/>
      <c r="D367" s="4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40"/>
      <c r="C368" s="136"/>
      <c r="D368" s="4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40"/>
      <c r="C369" s="136"/>
      <c r="D369" s="4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40"/>
      <c r="C370" s="136"/>
      <c r="D370" s="4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40"/>
      <c r="C371" s="136"/>
      <c r="D371" s="4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40"/>
      <c r="C372" s="136"/>
      <c r="D372" s="4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40"/>
      <c r="C373" s="136"/>
      <c r="D373" s="4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40"/>
      <c r="C374" s="136"/>
      <c r="D374" s="4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40"/>
      <c r="C375" s="136"/>
      <c r="D375" s="4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40"/>
      <c r="C376" s="136"/>
      <c r="D376" s="4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40"/>
      <c r="C377" s="136"/>
      <c r="D377" s="4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40"/>
      <c r="C378" s="136"/>
      <c r="D378" s="4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40"/>
      <c r="C379" s="136"/>
      <c r="D379" s="4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40"/>
      <c r="C380" s="136"/>
      <c r="D380" s="4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40"/>
      <c r="C381" s="136"/>
      <c r="D381" s="4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40"/>
      <c r="C382" s="136"/>
      <c r="D382" s="4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40"/>
      <c r="C383" s="136"/>
      <c r="D383" s="4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40"/>
      <c r="C384" s="136"/>
      <c r="D384" s="4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40"/>
      <c r="C385" s="136"/>
      <c r="D385" s="4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40"/>
      <c r="C386" s="136"/>
      <c r="D386" s="4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40"/>
      <c r="C387" s="136"/>
      <c r="D387" s="4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40"/>
      <c r="C388" s="136"/>
      <c r="D388" s="4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40"/>
      <c r="C389" s="136"/>
      <c r="D389" s="4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40"/>
      <c r="C390" s="136"/>
      <c r="D390" s="4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40"/>
      <c r="C391" s="136"/>
      <c r="D391" s="4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40"/>
      <c r="C392" s="136"/>
      <c r="D392" s="4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40"/>
      <c r="C393" s="136"/>
      <c r="D393" s="4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40"/>
      <c r="C394" s="136"/>
      <c r="D394" s="4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40"/>
      <c r="C395" s="136"/>
      <c r="D395" s="4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40"/>
      <c r="C396" s="136"/>
      <c r="D396" s="4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40"/>
      <c r="C397" s="136"/>
      <c r="D397" s="4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40"/>
      <c r="C398" s="136"/>
      <c r="D398" s="4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40"/>
      <c r="C399" s="136"/>
      <c r="D399" s="4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40"/>
      <c r="C400" s="136"/>
      <c r="D400" s="4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40"/>
      <c r="C401" s="136"/>
      <c r="D401" s="4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40"/>
      <c r="C402" s="136"/>
      <c r="D402" s="4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40"/>
      <c r="C403" s="136"/>
      <c r="D403" s="4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40"/>
      <c r="C404" s="136"/>
      <c r="D404" s="4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40"/>
      <c r="C405" s="136"/>
      <c r="D405" s="4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40"/>
      <c r="C406" s="136"/>
      <c r="D406" s="4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40"/>
      <c r="C407" s="136"/>
      <c r="D407" s="4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40"/>
      <c r="C408" s="136"/>
      <c r="D408" s="4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40"/>
      <c r="C409" s="136"/>
      <c r="D409" s="4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40"/>
      <c r="C410" s="136"/>
      <c r="D410" s="4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40"/>
      <c r="C411" s="136"/>
      <c r="D411" s="4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40"/>
      <c r="C412" s="136"/>
      <c r="D412" s="4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40"/>
      <c r="C413" s="136"/>
      <c r="D413" s="4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40"/>
      <c r="C414" s="136"/>
      <c r="D414" s="4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40"/>
      <c r="C415" s="136"/>
      <c r="D415" s="4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40"/>
      <c r="C416" s="136"/>
      <c r="D416" s="4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40"/>
      <c r="C417" s="136"/>
      <c r="D417" s="4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40"/>
      <c r="C418" s="136"/>
      <c r="D418" s="4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40"/>
      <c r="C419" s="136"/>
      <c r="D419" s="4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40"/>
      <c r="C420" s="136"/>
      <c r="D420" s="4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40"/>
      <c r="C421" s="136"/>
      <c r="D421" s="4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40"/>
      <c r="C422" s="136"/>
      <c r="D422" s="4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40"/>
      <c r="C423" s="136"/>
      <c r="D423" s="4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40"/>
      <c r="C424" s="136"/>
      <c r="D424" s="4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40"/>
      <c r="C425" s="136"/>
      <c r="D425" s="4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40"/>
      <c r="C426" s="136"/>
      <c r="D426" s="4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40"/>
      <c r="C427" s="136"/>
      <c r="D427" s="4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40"/>
      <c r="C428" s="136"/>
      <c r="D428" s="4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40"/>
      <c r="C429" s="136"/>
      <c r="D429" s="4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40"/>
      <c r="C430" s="136"/>
      <c r="D430" s="4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40"/>
      <c r="C431" s="136"/>
      <c r="D431" s="4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40"/>
      <c r="C432" s="136"/>
      <c r="D432" s="4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40"/>
      <c r="C433" s="136"/>
      <c r="D433" s="4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40"/>
      <c r="C434" s="136"/>
      <c r="D434" s="4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40"/>
      <c r="C435" s="136"/>
      <c r="D435" s="4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40"/>
      <c r="C436" s="136"/>
      <c r="D436" s="4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40"/>
      <c r="C437" s="136"/>
      <c r="D437" s="4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40"/>
      <c r="C438" s="136"/>
      <c r="D438" s="4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40"/>
      <c r="C439" s="136"/>
      <c r="D439" s="4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40"/>
      <c r="C440" s="136"/>
      <c r="D440" s="4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40"/>
      <c r="C441" s="136"/>
      <c r="D441" s="4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40"/>
      <c r="C442" s="136"/>
      <c r="D442" s="4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40"/>
      <c r="C443" s="136"/>
      <c r="D443" s="4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40"/>
      <c r="C444" s="136"/>
      <c r="D444" s="4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40"/>
      <c r="C445" s="136"/>
      <c r="D445" s="4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40"/>
      <c r="C446" s="136"/>
      <c r="D446" s="4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40"/>
      <c r="C447" s="136"/>
      <c r="D447" s="4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40"/>
      <c r="C448" s="136"/>
      <c r="D448" s="4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40"/>
      <c r="C449" s="136"/>
      <c r="D449" s="4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40"/>
      <c r="C450" s="136"/>
      <c r="D450" s="4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40"/>
      <c r="C451" s="136"/>
      <c r="D451" s="4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40"/>
      <c r="C452" s="136"/>
      <c r="D452" s="4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40"/>
      <c r="C453" s="136"/>
      <c r="D453" s="4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40"/>
      <c r="C454" s="136"/>
      <c r="D454" s="4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40"/>
      <c r="C455" s="136"/>
      <c r="D455" s="4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40"/>
      <c r="C456" s="136"/>
      <c r="D456" s="4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40"/>
      <c r="C457" s="136"/>
      <c r="D457" s="4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40"/>
      <c r="C458" s="136"/>
      <c r="D458" s="4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40"/>
      <c r="C459" s="136"/>
      <c r="D459" s="4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40"/>
      <c r="C460" s="136"/>
      <c r="D460" s="4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40"/>
      <c r="C461" s="136"/>
      <c r="D461" s="4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40"/>
      <c r="C462" s="136"/>
      <c r="D462" s="4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40"/>
      <c r="C463" s="136"/>
      <c r="D463" s="4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40"/>
      <c r="C464" s="136"/>
      <c r="D464" s="4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40"/>
      <c r="C465" s="136"/>
      <c r="D465" s="4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40"/>
      <c r="C466" s="136"/>
      <c r="D466" s="4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40"/>
      <c r="C467" s="136"/>
      <c r="D467" s="4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40"/>
      <c r="C468" s="136"/>
      <c r="D468" s="4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40"/>
      <c r="C469" s="136"/>
      <c r="D469" s="4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40"/>
      <c r="C470" s="136"/>
      <c r="D470" s="4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40"/>
      <c r="C471" s="136"/>
      <c r="D471" s="4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40"/>
      <c r="C472" s="136"/>
      <c r="D472" s="4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40"/>
      <c r="C473" s="136"/>
      <c r="D473" s="4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40"/>
      <c r="C474" s="136"/>
      <c r="D474" s="4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40"/>
      <c r="C475" s="136"/>
      <c r="D475" s="4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40"/>
      <c r="C476" s="136"/>
      <c r="D476" s="4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40"/>
      <c r="C477" s="136"/>
      <c r="D477" s="4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40"/>
      <c r="C478" s="136"/>
      <c r="D478" s="4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40"/>
      <c r="C479" s="136"/>
      <c r="D479" s="4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40"/>
      <c r="C480" s="136"/>
      <c r="D480" s="4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40"/>
      <c r="C481" s="136"/>
      <c r="D481" s="4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40"/>
      <c r="C482" s="136"/>
      <c r="D482" s="4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40"/>
      <c r="C483" s="136"/>
      <c r="D483" s="4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40"/>
      <c r="C484" s="136"/>
      <c r="D484" s="4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40"/>
      <c r="C485" s="136"/>
      <c r="D485" s="4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40"/>
      <c r="C486" s="136"/>
      <c r="D486" s="4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40"/>
      <c r="C487" s="136"/>
      <c r="D487" s="4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40"/>
      <c r="C488" s="136"/>
      <c r="D488" s="4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40"/>
      <c r="C489" s="136"/>
      <c r="D489" s="4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40"/>
      <c r="C490" s="136"/>
      <c r="D490" s="4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40"/>
      <c r="C491" s="136"/>
      <c r="D491" s="4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40"/>
      <c r="C492" s="136"/>
      <c r="D492" s="4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40"/>
      <c r="C493" s="136"/>
      <c r="D493" s="4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40"/>
      <c r="C494" s="136"/>
      <c r="D494" s="4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40"/>
      <c r="C495" s="136"/>
      <c r="D495" s="4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40"/>
      <c r="C496" s="136"/>
      <c r="D496" s="4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40"/>
      <c r="C497" s="136"/>
      <c r="D497" s="4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40"/>
      <c r="C498" s="136"/>
      <c r="D498" s="4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40"/>
      <c r="C499" s="136"/>
      <c r="D499" s="4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40"/>
      <c r="C500" s="136"/>
      <c r="D500" s="4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40"/>
      <c r="C501" s="136"/>
      <c r="D501" s="4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40"/>
      <c r="C502" s="136"/>
      <c r="D502" s="4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40"/>
      <c r="C503" s="136"/>
      <c r="D503" s="4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40"/>
      <c r="C504" s="136"/>
      <c r="D504" s="4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40"/>
      <c r="C505" s="136"/>
      <c r="D505" s="4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40"/>
      <c r="C506" s="136"/>
      <c r="D506" s="4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40"/>
      <c r="C507" s="136"/>
      <c r="D507" s="4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40"/>
      <c r="C508" s="136"/>
      <c r="D508" s="4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40"/>
      <c r="C509" s="136"/>
      <c r="D509" s="4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40"/>
      <c r="C510" s="136"/>
      <c r="D510" s="4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40"/>
      <c r="C511" s="136"/>
      <c r="D511" s="4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40"/>
      <c r="C512" s="136"/>
      <c r="D512" s="4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40"/>
      <c r="C513" s="136"/>
      <c r="D513" s="4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40"/>
      <c r="C514" s="136"/>
      <c r="D514" s="4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40"/>
      <c r="C515" s="136"/>
      <c r="D515" s="4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40"/>
      <c r="C516" s="136"/>
      <c r="D516" s="4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40"/>
      <c r="C517" s="136"/>
      <c r="D517" s="4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40"/>
      <c r="C518" s="136"/>
      <c r="D518" s="4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40"/>
      <c r="C519" s="136"/>
      <c r="D519" s="4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40"/>
      <c r="C520" s="136"/>
      <c r="D520" s="4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40"/>
      <c r="C521" s="136"/>
      <c r="D521" s="4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40"/>
      <c r="C522" s="136"/>
      <c r="D522" s="4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40"/>
      <c r="C523" s="136"/>
      <c r="D523" s="4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40"/>
      <c r="C524" s="136"/>
      <c r="D524" s="4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40"/>
      <c r="C525" s="136"/>
      <c r="D525" s="4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40"/>
      <c r="C526" s="136"/>
      <c r="D526" s="4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40"/>
      <c r="C527" s="136"/>
      <c r="D527" s="4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40"/>
      <c r="C528" s="136"/>
      <c r="D528" s="4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40"/>
      <c r="C529" s="136"/>
      <c r="D529" s="4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40"/>
      <c r="C530" s="136"/>
      <c r="D530" s="4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40"/>
      <c r="C531" s="136"/>
      <c r="D531" s="4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40"/>
      <c r="C532" s="136"/>
      <c r="D532" s="4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40"/>
      <c r="C533" s="136"/>
      <c r="D533" s="4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40"/>
      <c r="C534" s="136"/>
      <c r="D534" s="4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40"/>
      <c r="C535" s="136"/>
      <c r="D535" s="4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40"/>
      <c r="C536" s="136"/>
      <c r="D536" s="4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40"/>
      <c r="C537" s="136"/>
      <c r="D537" s="4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40"/>
      <c r="C538" s="136"/>
      <c r="D538" s="4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40"/>
      <c r="C539" s="136"/>
      <c r="D539" s="4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40"/>
      <c r="C540" s="136"/>
      <c r="D540" s="4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40"/>
      <c r="C541" s="136"/>
      <c r="D541" s="4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40"/>
      <c r="C542" s="136"/>
      <c r="D542" s="4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40"/>
      <c r="C543" s="136"/>
      <c r="D543" s="4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40"/>
      <c r="C544" s="136"/>
      <c r="D544" s="4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40"/>
      <c r="C545" s="136"/>
      <c r="D545" s="4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40"/>
      <c r="C546" s="136"/>
      <c r="D546" s="4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40"/>
      <c r="C547" s="136"/>
      <c r="D547" s="4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40"/>
      <c r="C548" s="136"/>
      <c r="D548" s="4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40"/>
      <c r="C549" s="136"/>
      <c r="D549" s="4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40"/>
      <c r="C550" s="136"/>
      <c r="D550" s="4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40"/>
      <c r="C551" s="136"/>
      <c r="D551" s="4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40"/>
      <c r="C552" s="136"/>
      <c r="D552" s="4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40"/>
      <c r="C553" s="136"/>
      <c r="D553" s="4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40"/>
      <c r="C554" s="136"/>
      <c r="D554" s="4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40"/>
      <c r="C555" s="136"/>
      <c r="D555" s="4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40"/>
      <c r="C556" s="136"/>
      <c r="D556" s="4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40"/>
      <c r="C557" s="136"/>
      <c r="D557" s="4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40"/>
      <c r="C558" s="136"/>
      <c r="D558" s="4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40"/>
      <c r="C559" s="136"/>
      <c r="D559" s="4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40"/>
      <c r="C560" s="136"/>
      <c r="D560" s="4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40"/>
      <c r="C561" s="136"/>
      <c r="D561" s="4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40"/>
      <c r="C562" s="136"/>
      <c r="D562" s="4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40"/>
      <c r="C563" s="136"/>
      <c r="D563" s="4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40"/>
      <c r="C564" s="136"/>
      <c r="D564" s="4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40"/>
      <c r="C565" s="136"/>
      <c r="D565" s="4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40"/>
      <c r="C566" s="136"/>
      <c r="D566" s="4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40"/>
      <c r="C567" s="136"/>
      <c r="D567" s="4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40"/>
      <c r="C568" s="136"/>
      <c r="D568" s="4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40"/>
      <c r="C569" s="136"/>
      <c r="D569" s="4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40"/>
      <c r="C570" s="136"/>
      <c r="D570" s="4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40"/>
      <c r="C571" s="136"/>
      <c r="D571" s="4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40"/>
      <c r="C572" s="136"/>
      <c r="D572" s="4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40"/>
      <c r="C573" s="136"/>
      <c r="D573" s="4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40"/>
      <c r="C574" s="136"/>
      <c r="D574" s="4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40"/>
      <c r="C575" s="136"/>
      <c r="D575" s="4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40"/>
      <c r="C576" s="136"/>
      <c r="D576" s="4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40"/>
      <c r="C577" s="136"/>
      <c r="D577" s="4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40"/>
      <c r="C578" s="136"/>
      <c r="D578" s="4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40"/>
      <c r="C579" s="136"/>
      <c r="D579" s="4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40"/>
      <c r="C580" s="136"/>
      <c r="D580" s="4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40"/>
      <c r="C581" s="136"/>
      <c r="D581" s="4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40"/>
      <c r="C582" s="136"/>
      <c r="D582" s="4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40"/>
      <c r="C583" s="136"/>
      <c r="D583" s="4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40"/>
      <c r="C584" s="136"/>
      <c r="D584" s="4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40"/>
      <c r="C585" s="136"/>
      <c r="D585" s="4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40"/>
      <c r="C586" s="136"/>
      <c r="D586" s="4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40"/>
      <c r="C587" s="136"/>
      <c r="D587" s="4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40"/>
      <c r="C588" s="136"/>
      <c r="D588" s="4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40"/>
      <c r="C589" s="136"/>
      <c r="D589" s="4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40"/>
      <c r="C590" s="136"/>
      <c r="D590" s="4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40"/>
      <c r="C591" s="136"/>
      <c r="D591" s="4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40"/>
      <c r="C592" s="136"/>
      <c r="D592" s="4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40"/>
      <c r="C593" s="136"/>
      <c r="D593" s="4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40"/>
      <c r="C594" s="136"/>
      <c r="D594" s="4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40"/>
      <c r="C595" s="136"/>
      <c r="D595" s="4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40"/>
      <c r="C596" s="136"/>
      <c r="D596" s="4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40"/>
      <c r="C597" s="136"/>
      <c r="D597" s="4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40"/>
      <c r="C598" s="136"/>
      <c r="D598" s="4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40"/>
      <c r="C599" s="136"/>
      <c r="D599" s="4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40"/>
      <c r="C600" s="136"/>
      <c r="D600" s="4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40"/>
      <c r="C601" s="136"/>
      <c r="D601" s="4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40"/>
      <c r="C602" s="136"/>
      <c r="D602" s="4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40"/>
      <c r="C603" s="136"/>
      <c r="D603" s="4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40"/>
      <c r="C604" s="136"/>
      <c r="D604" s="4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40"/>
      <c r="C605" s="136"/>
      <c r="D605" s="4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40"/>
      <c r="C606" s="136"/>
      <c r="D606" s="4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40"/>
      <c r="C607" s="136"/>
      <c r="D607" s="4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40"/>
      <c r="C608" s="136"/>
      <c r="D608" s="4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40"/>
      <c r="C609" s="136"/>
      <c r="D609" s="4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40"/>
      <c r="C610" s="136"/>
      <c r="D610" s="4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40"/>
      <c r="C611" s="136"/>
      <c r="D611" s="4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40"/>
      <c r="C612" s="136"/>
      <c r="D612" s="4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40"/>
      <c r="C613" s="136"/>
      <c r="D613" s="4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40"/>
      <c r="C614" s="136"/>
      <c r="D614" s="4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40"/>
      <c r="C615" s="136"/>
      <c r="D615" s="4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40"/>
      <c r="C616" s="136"/>
      <c r="D616" s="4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40"/>
      <c r="C617" s="136"/>
      <c r="D617" s="4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40"/>
      <c r="C618" s="136"/>
      <c r="D618" s="4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40"/>
      <c r="C619" s="136"/>
      <c r="D619" s="4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40"/>
      <c r="C620" s="136"/>
      <c r="D620" s="4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40"/>
      <c r="C621" s="136"/>
      <c r="D621" s="4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40"/>
      <c r="C622" s="136"/>
      <c r="D622" s="4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40"/>
      <c r="C623" s="136"/>
      <c r="D623" s="4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40"/>
      <c r="C624" s="136"/>
      <c r="D624" s="4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40"/>
      <c r="C625" s="136"/>
      <c r="D625" s="4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40"/>
      <c r="C626" s="136"/>
      <c r="D626" s="4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40"/>
      <c r="C627" s="136"/>
      <c r="D627" s="4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40"/>
      <c r="C628" s="136"/>
      <c r="D628" s="4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40"/>
      <c r="C629" s="136"/>
      <c r="D629" s="4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40"/>
      <c r="C630" s="136"/>
      <c r="D630" s="4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40"/>
      <c r="C631" s="136"/>
      <c r="D631" s="4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40"/>
      <c r="C632" s="136"/>
      <c r="D632" s="4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40"/>
      <c r="C633" s="136"/>
      <c r="D633" s="4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40"/>
      <c r="C634" s="136"/>
      <c r="D634" s="4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40"/>
      <c r="C635" s="136"/>
      <c r="D635" s="4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40"/>
      <c r="C636" s="136"/>
      <c r="D636" s="4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40"/>
      <c r="C637" s="136"/>
      <c r="D637" s="4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40"/>
      <c r="C638" s="136"/>
      <c r="D638" s="4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40"/>
      <c r="C639" s="136"/>
      <c r="D639" s="4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40"/>
      <c r="C640" s="136"/>
      <c r="D640" s="4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40"/>
      <c r="C641" s="136"/>
      <c r="D641" s="4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40"/>
      <c r="C642" s="136"/>
      <c r="D642" s="4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40"/>
      <c r="C643" s="136"/>
      <c r="D643" s="4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40"/>
      <c r="C644" s="136"/>
      <c r="D644" s="4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40"/>
      <c r="C645" s="136"/>
      <c r="D645" s="4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40"/>
      <c r="C646" s="136"/>
      <c r="D646" s="4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40"/>
      <c r="C647" s="136"/>
      <c r="D647" s="4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40"/>
      <c r="C648" s="136"/>
      <c r="D648" s="4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40"/>
      <c r="C649" s="136"/>
      <c r="D649" s="4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40"/>
      <c r="C650" s="136"/>
      <c r="D650" s="4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40"/>
      <c r="C651" s="136"/>
      <c r="D651" s="4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40"/>
      <c r="C652" s="136"/>
      <c r="D652" s="4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40"/>
      <c r="C653" s="136"/>
      <c r="D653" s="4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40"/>
      <c r="C654" s="136"/>
      <c r="D654" s="4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40"/>
      <c r="C655" s="136"/>
      <c r="D655" s="4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40"/>
      <c r="C656" s="136"/>
      <c r="D656" s="4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40"/>
      <c r="C657" s="136"/>
      <c r="D657" s="4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40"/>
      <c r="C658" s="136"/>
      <c r="D658" s="4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40"/>
      <c r="C659" s="136"/>
      <c r="D659" s="4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40"/>
      <c r="C660" s="136"/>
      <c r="D660" s="4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40"/>
      <c r="C661" s="136"/>
      <c r="D661" s="4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40"/>
      <c r="C662" s="136"/>
      <c r="D662" s="4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40"/>
      <c r="C663" s="136"/>
      <c r="D663" s="4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40"/>
      <c r="C664" s="136"/>
      <c r="D664" s="4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40"/>
      <c r="C665" s="136"/>
      <c r="D665" s="4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40"/>
      <c r="C666" s="136"/>
      <c r="D666" s="4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40"/>
      <c r="C667" s="136"/>
      <c r="D667" s="4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40"/>
      <c r="C668" s="136"/>
      <c r="D668" s="4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40"/>
      <c r="C669" s="136"/>
      <c r="D669" s="4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40"/>
      <c r="C670" s="136"/>
      <c r="D670" s="4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40"/>
      <c r="C671" s="136"/>
      <c r="D671" s="4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40"/>
      <c r="C672" s="136"/>
      <c r="D672" s="4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40"/>
      <c r="C673" s="136"/>
      <c r="D673" s="4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40"/>
      <c r="C674" s="136"/>
      <c r="D674" s="4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40"/>
      <c r="C675" s="136"/>
      <c r="D675" s="4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40"/>
      <c r="C676" s="136"/>
      <c r="D676" s="4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40"/>
      <c r="C677" s="136"/>
      <c r="D677" s="4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40"/>
      <c r="C678" s="136"/>
      <c r="D678" s="4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40"/>
      <c r="C679" s="136"/>
      <c r="D679" s="4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40"/>
      <c r="C680" s="136"/>
      <c r="D680" s="4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40"/>
      <c r="C681" s="136"/>
      <c r="D681" s="4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40"/>
      <c r="C682" s="136"/>
      <c r="D682" s="4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40"/>
      <c r="C683" s="136"/>
      <c r="D683" s="4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40"/>
      <c r="C684" s="136"/>
      <c r="D684" s="4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40"/>
      <c r="C685" s="136"/>
      <c r="D685" s="4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40"/>
      <c r="C686" s="136"/>
      <c r="D686" s="4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40"/>
      <c r="C687" s="136"/>
      <c r="D687" s="4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40"/>
      <c r="C688" s="136"/>
      <c r="D688" s="4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40"/>
      <c r="C689" s="136"/>
      <c r="D689" s="4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40"/>
      <c r="C690" s="136"/>
      <c r="D690" s="4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40"/>
      <c r="C691" s="136"/>
      <c r="D691" s="4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40"/>
      <c r="C692" s="136"/>
      <c r="D692" s="4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40"/>
      <c r="C693" s="136"/>
      <c r="D693" s="4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40"/>
      <c r="C694" s="136"/>
      <c r="D694" s="4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40"/>
      <c r="C695" s="136"/>
      <c r="D695" s="4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40"/>
      <c r="C696" s="136"/>
      <c r="D696" s="4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40"/>
      <c r="C697" s="136"/>
      <c r="D697" s="4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40"/>
      <c r="C698" s="136"/>
      <c r="D698" s="4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40"/>
      <c r="C699" s="136"/>
      <c r="D699" s="4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40"/>
      <c r="C700" s="136"/>
      <c r="D700" s="4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40"/>
      <c r="C701" s="136"/>
      <c r="D701" s="4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40"/>
      <c r="C702" s="136"/>
      <c r="D702" s="4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40"/>
      <c r="C703" s="136"/>
      <c r="D703" s="4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40"/>
      <c r="C704" s="136"/>
      <c r="D704" s="4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40"/>
      <c r="C705" s="136"/>
      <c r="D705" s="4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40"/>
      <c r="C706" s="136"/>
      <c r="D706" s="4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40"/>
      <c r="C707" s="136"/>
      <c r="D707" s="4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40"/>
      <c r="C708" s="136"/>
      <c r="D708" s="4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40"/>
      <c r="C709" s="136"/>
      <c r="D709" s="4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40"/>
      <c r="C710" s="136"/>
      <c r="D710" s="4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40"/>
      <c r="C711" s="136"/>
      <c r="D711" s="4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40"/>
      <c r="C712" s="136"/>
      <c r="D712" s="4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40"/>
      <c r="C713" s="136"/>
      <c r="D713" s="4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40"/>
      <c r="C714" s="136"/>
      <c r="D714" s="4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40"/>
      <c r="C715" s="136"/>
      <c r="D715" s="4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40"/>
      <c r="C716" s="136"/>
      <c r="D716" s="4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40"/>
      <c r="C717" s="136"/>
      <c r="D717" s="4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40"/>
      <c r="C718" s="136"/>
      <c r="D718" s="4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40"/>
      <c r="C719" s="136"/>
      <c r="D719" s="4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40"/>
      <c r="C720" s="136"/>
      <c r="D720" s="4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40"/>
      <c r="C721" s="136"/>
      <c r="D721" s="4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40"/>
      <c r="C722" s="136"/>
      <c r="D722" s="4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40"/>
      <c r="C723" s="136"/>
      <c r="D723" s="4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40"/>
      <c r="C724" s="136"/>
      <c r="D724" s="4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40"/>
      <c r="C725" s="136"/>
      <c r="D725" s="4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40"/>
      <c r="C726" s="136"/>
      <c r="D726" s="4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40"/>
      <c r="C727" s="136"/>
      <c r="D727" s="4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40"/>
      <c r="C728" s="136"/>
      <c r="D728" s="4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40"/>
      <c r="C729" s="136"/>
      <c r="D729" s="4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40"/>
      <c r="C730" s="136"/>
      <c r="D730" s="4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40"/>
      <c r="C731" s="136"/>
      <c r="D731" s="4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40"/>
      <c r="C732" s="136"/>
      <c r="D732" s="4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40"/>
      <c r="C733" s="136"/>
      <c r="D733" s="4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40"/>
      <c r="C734" s="136"/>
      <c r="D734" s="4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40"/>
      <c r="C735" s="136"/>
      <c r="D735" s="4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40"/>
      <c r="C736" s="136"/>
      <c r="D736" s="4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40"/>
      <c r="C737" s="136"/>
      <c r="D737" s="4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40"/>
      <c r="C738" s="136"/>
      <c r="D738" s="4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40"/>
      <c r="C739" s="136"/>
      <c r="D739" s="4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40"/>
      <c r="C740" s="136"/>
      <c r="D740" s="4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40"/>
      <c r="C741" s="136"/>
      <c r="D741" s="4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40"/>
      <c r="C742" s="136"/>
      <c r="D742" s="4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40"/>
      <c r="C743" s="136"/>
      <c r="D743" s="4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40"/>
      <c r="C744" s="136"/>
      <c r="D744" s="4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40"/>
      <c r="C745" s="136"/>
      <c r="D745" s="4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40"/>
      <c r="C746" s="136"/>
      <c r="D746" s="4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40"/>
      <c r="C747" s="136"/>
      <c r="D747" s="4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40"/>
      <c r="C748" s="136"/>
      <c r="D748" s="4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40"/>
      <c r="C749" s="136"/>
      <c r="D749" s="4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40"/>
      <c r="C750" s="136"/>
      <c r="D750" s="4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40"/>
      <c r="C751" s="136"/>
      <c r="D751" s="4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40"/>
      <c r="C752" s="136"/>
      <c r="D752" s="4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40"/>
      <c r="C753" s="136"/>
      <c r="D753" s="4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40"/>
      <c r="C754" s="136"/>
      <c r="D754" s="4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40"/>
      <c r="C755" s="136"/>
      <c r="D755" s="4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40"/>
      <c r="C756" s="136"/>
      <c r="D756" s="4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40"/>
      <c r="C757" s="136"/>
      <c r="D757" s="4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40"/>
      <c r="C758" s="136"/>
      <c r="D758" s="4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40"/>
      <c r="C759" s="136"/>
      <c r="D759" s="4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40"/>
      <c r="C760" s="136"/>
      <c r="D760" s="4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40"/>
      <c r="C761" s="136"/>
      <c r="D761" s="4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40"/>
      <c r="C762" s="136"/>
      <c r="D762" s="4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40"/>
      <c r="C763" s="136"/>
      <c r="D763" s="4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40"/>
      <c r="C764" s="136"/>
      <c r="D764" s="4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40"/>
      <c r="C765" s="136"/>
      <c r="D765" s="4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40"/>
      <c r="C766" s="136"/>
      <c r="D766" s="4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40"/>
      <c r="C767" s="136"/>
      <c r="D767" s="4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40"/>
      <c r="C768" s="136"/>
      <c r="D768" s="4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40"/>
      <c r="C769" s="136"/>
      <c r="D769" s="4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40"/>
      <c r="C770" s="136"/>
      <c r="D770" s="4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40"/>
      <c r="C771" s="136"/>
      <c r="D771" s="4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40"/>
      <c r="C772" s="136"/>
      <c r="D772" s="4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40"/>
      <c r="C773" s="136"/>
      <c r="D773" s="4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40"/>
      <c r="C774" s="136"/>
      <c r="D774" s="4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40"/>
      <c r="C775" s="136"/>
      <c r="D775" s="4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40"/>
      <c r="C776" s="136"/>
      <c r="D776" s="4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40"/>
      <c r="C777" s="136"/>
      <c r="D777" s="4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40"/>
      <c r="C778" s="136"/>
      <c r="D778" s="4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40"/>
      <c r="C779" s="136"/>
      <c r="D779" s="4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40"/>
      <c r="C780" s="136"/>
      <c r="D780" s="4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40"/>
      <c r="C781" s="136"/>
      <c r="D781" s="4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40"/>
      <c r="C782" s="136"/>
      <c r="D782" s="4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40"/>
      <c r="C783" s="136"/>
      <c r="D783" s="4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40"/>
      <c r="C784" s="136"/>
      <c r="D784" s="4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40"/>
      <c r="C785" s="136"/>
      <c r="D785" s="4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40"/>
      <c r="C786" s="136"/>
      <c r="D786" s="4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40"/>
      <c r="C787" s="136"/>
      <c r="D787" s="4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40"/>
      <c r="C788" s="136"/>
      <c r="D788" s="4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40"/>
      <c r="C789" s="136"/>
      <c r="D789" s="4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40"/>
      <c r="C790" s="136"/>
      <c r="D790" s="4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40"/>
      <c r="C791" s="136"/>
      <c r="D791" s="4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40"/>
      <c r="C792" s="136"/>
      <c r="D792" s="4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40"/>
      <c r="C793" s="136"/>
      <c r="D793" s="4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40"/>
      <c r="C794" s="136"/>
      <c r="D794" s="4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40"/>
      <c r="C795" s="136"/>
      <c r="D795" s="4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40"/>
      <c r="C796" s="136"/>
      <c r="D796" s="4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40"/>
      <c r="C797" s="136"/>
      <c r="D797" s="4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40"/>
      <c r="C798" s="136"/>
      <c r="D798" s="4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40"/>
      <c r="C799" s="136"/>
      <c r="D799" s="4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40"/>
      <c r="C800" s="136"/>
      <c r="D800" s="4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40"/>
      <c r="C801" s="136"/>
      <c r="D801" s="4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40"/>
      <c r="C802" s="136"/>
      <c r="D802" s="4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40"/>
      <c r="C803" s="136"/>
      <c r="D803" s="4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40"/>
      <c r="C804" s="136"/>
      <c r="D804" s="4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40"/>
      <c r="C805" s="136"/>
      <c r="D805" s="4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40"/>
      <c r="C806" s="136"/>
      <c r="D806" s="4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40"/>
      <c r="C807" s="136"/>
      <c r="D807" s="4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40"/>
      <c r="C808" s="136"/>
      <c r="D808" s="4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40"/>
      <c r="C809" s="136"/>
      <c r="D809" s="4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40"/>
      <c r="C810" s="136"/>
      <c r="D810" s="4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40"/>
      <c r="C811" s="136"/>
      <c r="D811" s="4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40"/>
      <c r="C812" s="136"/>
      <c r="D812" s="4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40"/>
      <c r="C813" s="136"/>
      <c r="D813" s="4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40"/>
      <c r="C814" s="136"/>
      <c r="D814" s="4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40"/>
      <c r="C815" s="136"/>
      <c r="D815" s="4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40"/>
      <c r="C816" s="136"/>
      <c r="D816" s="4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40"/>
      <c r="C817" s="136"/>
      <c r="D817" s="4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40"/>
      <c r="C818" s="136"/>
      <c r="D818" s="4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40"/>
      <c r="C819" s="136"/>
      <c r="D819" s="4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40"/>
      <c r="C820" s="136"/>
      <c r="D820" s="4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40"/>
      <c r="C821" s="136"/>
      <c r="D821" s="4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40"/>
      <c r="C822" s="136"/>
      <c r="D822" s="4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40"/>
      <c r="C823" s="136"/>
      <c r="D823" s="4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40"/>
      <c r="C824" s="136"/>
      <c r="D824" s="4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40"/>
      <c r="C825" s="136"/>
      <c r="D825" s="4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40"/>
      <c r="C826" s="136"/>
      <c r="D826" s="4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40"/>
      <c r="C827" s="136"/>
      <c r="D827" s="4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40"/>
      <c r="C828" s="136"/>
      <c r="D828" s="4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40"/>
      <c r="C829" s="136"/>
      <c r="D829" s="4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40"/>
      <c r="C830" s="136"/>
      <c r="D830" s="4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40"/>
      <c r="C831" s="136"/>
      <c r="D831" s="4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40"/>
      <c r="C832" s="136"/>
      <c r="D832" s="4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40"/>
      <c r="C833" s="136"/>
      <c r="D833" s="4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40"/>
      <c r="C834" s="136"/>
      <c r="D834" s="4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40"/>
      <c r="C835" s="136"/>
      <c r="D835" s="4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40"/>
      <c r="C836" s="136"/>
      <c r="D836" s="4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40"/>
      <c r="C837" s="136"/>
      <c r="D837" s="4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40"/>
      <c r="C838" s="136"/>
      <c r="D838" s="4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40"/>
      <c r="C839" s="136"/>
      <c r="D839" s="4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40"/>
      <c r="C840" s="136"/>
      <c r="D840" s="4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40"/>
      <c r="C841" s="136"/>
      <c r="D841" s="4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40"/>
      <c r="C842" s="136"/>
      <c r="D842" s="4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40"/>
      <c r="C843" s="136"/>
      <c r="D843" s="4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40"/>
      <c r="C844" s="136"/>
      <c r="D844" s="4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40"/>
      <c r="C845" s="136"/>
      <c r="D845" s="4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40"/>
      <c r="C846" s="136"/>
      <c r="D846" s="4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40"/>
      <c r="C847" s="136"/>
      <c r="D847" s="4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40"/>
      <c r="C848" s="136"/>
      <c r="D848" s="4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40"/>
      <c r="C849" s="136"/>
      <c r="D849" s="4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40"/>
      <c r="C850" s="136"/>
      <c r="D850" s="4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40"/>
      <c r="C851" s="136"/>
      <c r="D851" s="4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40"/>
      <c r="C852" s="136"/>
      <c r="D852" s="4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40"/>
      <c r="C853" s="136"/>
      <c r="D853" s="4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40"/>
      <c r="C854" s="136"/>
      <c r="D854" s="4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40"/>
      <c r="C855" s="136"/>
      <c r="D855" s="4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40"/>
      <c r="C856" s="136"/>
      <c r="D856" s="4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40"/>
      <c r="C857" s="136"/>
      <c r="D857" s="4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40"/>
      <c r="C858" s="136"/>
      <c r="D858" s="4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40"/>
      <c r="C859" s="136"/>
      <c r="D859" s="4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40"/>
      <c r="C860" s="136"/>
      <c r="D860" s="4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40"/>
      <c r="C861" s="136"/>
      <c r="D861" s="4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40"/>
      <c r="C862" s="136"/>
      <c r="D862" s="4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40"/>
      <c r="C863" s="136"/>
      <c r="D863" s="4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40"/>
      <c r="C864" s="136"/>
      <c r="D864" s="4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40"/>
      <c r="C865" s="136"/>
      <c r="D865" s="4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40"/>
      <c r="C866" s="136"/>
      <c r="D866" s="4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40"/>
      <c r="C867" s="136"/>
      <c r="D867" s="4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40"/>
      <c r="C868" s="136"/>
      <c r="D868" s="4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40"/>
      <c r="C869" s="136"/>
      <c r="D869" s="4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40"/>
      <c r="C870" s="136"/>
      <c r="D870" s="4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40"/>
      <c r="C871" s="136"/>
      <c r="D871" s="4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40"/>
      <c r="C872" s="136"/>
      <c r="D872" s="4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40"/>
      <c r="C873" s="136"/>
      <c r="D873" s="4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40"/>
      <c r="C874" s="136"/>
      <c r="D874" s="4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40"/>
      <c r="C875" s="136"/>
      <c r="D875" s="4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40"/>
      <c r="C876" s="136"/>
      <c r="D876" s="4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40"/>
      <c r="C877" s="136"/>
      <c r="D877" s="4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40"/>
      <c r="C878" s="136"/>
      <c r="D878" s="4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40"/>
      <c r="C879" s="136"/>
      <c r="D879" s="4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40"/>
      <c r="C880" s="136"/>
      <c r="D880" s="4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40"/>
      <c r="C881" s="136"/>
      <c r="D881" s="4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40"/>
      <c r="C882" s="136"/>
      <c r="D882" s="4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40"/>
      <c r="C883" s="136"/>
      <c r="D883" s="4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40"/>
      <c r="C884" s="136"/>
      <c r="D884" s="4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40"/>
      <c r="C885" s="136"/>
      <c r="D885" s="4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40"/>
      <c r="C886" s="136"/>
      <c r="D886" s="4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40"/>
      <c r="C887" s="136"/>
      <c r="D887" s="4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40"/>
      <c r="C888" s="136"/>
      <c r="D888" s="4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40"/>
      <c r="C889" s="136"/>
      <c r="D889" s="4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40"/>
      <c r="C890" s="136"/>
      <c r="D890" s="4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40"/>
      <c r="C891" s="136"/>
      <c r="D891" s="4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40"/>
      <c r="C892" s="136"/>
      <c r="D892" s="4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40"/>
      <c r="C893" s="136"/>
      <c r="D893" s="4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40"/>
      <c r="C894" s="136"/>
      <c r="D894" s="4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40"/>
      <c r="C895" s="136"/>
      <c r="D895" s="4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40"/>
      <c r="C896" s="136"/>
      <c r="D896" s="4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40"/>
      <c r="C897" s="136"/>
      <c r="D897" s="4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40"/>
      <c r="C898" s="136"/>
      <c r="D898" s="4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40"/>
      <c r="C899" s="136"/>
      <c r="D899" s="4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40"/>
      <c r="C900" s="136"/>
      <c r="D900" s="4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40"/>
      <c r="C901" s="136"/>
      <c r="D901" s="4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40"/>
      <c r="C902" s="136"/>
      <c r="D902" s="4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40"/>
      <c r="C903" s="136"/>
      <c r="D903" s="4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40"/>
      <c r="C904" s="136"/>
      <c r="D904" s="4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40"/>
      <c r="C905" s="136"/>
      <c r="D905" s="4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40"/>
      <c r="C906" s="136"/>
      <c r="D906" s="4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40"/>
      <c r="C907" s="136"/>
      <c r="D907" s="4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40"/>
      <c r="C908" s="136"/>
      <c r="D908" s="4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40"/>
      <c r="C909" s="136"/>
      <c r="D909" s="4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40"/>
      <c r="C910" s="136"/>
      <c r="D910" s="4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40"/>
      <c r="C911" s="136"/>
      <c r="D911" s="4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40"/>
      <c r="C912" s="136"/>
      <c r="D912" s="4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40"/>
      <c r="C913" s="136"/>
      <c r="D913" s="4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40"/>
      <c r="C914" s="136"/>
      <c r="D914" s="4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40"/>
      <c r="C915" s="136"/>
      <c r="D915" s="4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40"/>
      <c r="C916" s="136"/>
      <c r="D916" s="4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40"/>
      <c r="C917" s="136"/>
      <c r="D917" s="4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40"/>
      <c r="C918" s="136"/>
      <c r="D918" s="4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40"/>
      <c r="C919" s="136"/>
      <c r="D919" s="4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40"/>
      <c r="C920" s="136"/>
      <c r="D920" s="4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40"/>
      <c r="C921" s="136"/>
      <c r="D921" s="4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40"/>
      <c r="C922" s="136"/>
      <c r="D922" s="4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40"/>
      <c r="C923" s="136"/>
      <c r="D923" s="4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40"/>
      <c r="C924" s="136"/>
      <c r="D924" s="4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40"/>
      <c r="C925" s="136"/>
      <c r="D925" s="4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40"/>
      <c r="C926" s="136"/>
      <c r="D926" s="4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40"/>
      <c r="C927" s="136"/>
      <c r="D927" s="4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40"/>
      <c r="C928" s="136"/>
      <c r="D928" s="4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40"/>
      <c r="C929" s="136"/>
      <c r="D929" s="4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40"/>
      <c r="C930" s="136"/>
      <c r="D930" s="4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40"/>
      <c r="C931" s="136"/>
      <c r="D931" s="4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40"/>
      <c r="C932" s="136"/>
      <c r="D932" s="4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40"/>
      <c r="C933" s="136"/>
      <c r="D933" s="4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40"/>
      <c r="C934" s="136"/>
      <c r="D934" s="4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40"/>
      <c r="C935" s="136"/>
      <c r="D935" s="4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40"/>
      <c r="C936" s="136"/>
      <c r="D936" s="4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40"/>
      <c r="C937" s="136"/>
      <c r="D937" s="4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40"/>
      <c r="C938" s="136"/>
      <c r="D938" s="4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40"/>
      <c r="C939" s="136"/>
      <c r="D939" s="4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40"/>
      <c r="C940" s="136"/>
      <c r="D940" s="4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40"/>
      <c r="C941" s="136"/>
      <c r="D941" s="4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40"/>
      <c r="C942" s="136"/>
      <c r="D942" s="4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40"/>
      <c r="C943" s="136"/>
      <c r="D943" s="4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40"/>
      <c r="C944" s="136"/>
      <c r="D944" s="4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40"/>
      <c r="C945" s="136"/>
      <c r="D945" s="4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40"/>
      <c r="C946" s="136"/>
      <c r="D946" s="4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40"/>
      <c r="C947" s="136"/>
      <c r="D947" s="4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40"/>
      <c r="C948" s="136"/>
      <c r="D948" s="4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40"/>
      <c r="C949" s="136"/>
      <c r="D949" s="4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40"/>
      <c r="C950" s="136"/>
      <c r="D950" s="4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40"/>
      <c r="C951" s="136"/>
      <c r="D951" s="4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40"/>
      <c r="C952" s="136"/>
      <c r="D952" s="4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40"/>
      <c r="C953" s="136"/>
      <c r="D953" s="4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40"/>
      <c r="C954" s="136"/>
      <c r="D954" s="4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40"/>
      <c r="C955" s="136"/>
      <c r="D955" s="4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40"/>
      <c r="C956" s="136"/>
      <c r="D956" s="4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40"/>
      <c r="C957" s="136"/>
      <c r="D957" s="4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40"/>
      <c r="C958" s="136"/>
      <c r="D958" s="4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40"/>
      <c r="C959" s="136"/>
      <c r="D959" s="4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40"/>
      <c r="C960" s="136"/>
      <c r="D960" s="4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40"/>
      <c r="C961" s="136"/>
      <c r="D961" s="4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40"/>
      <c r="C962" s="136"/>
      <c r="D962" s="4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40"/>
      <c r="C963" s="136"/>
      <c r="D963" s="4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40"/>
      <c r="C964" s="136"/>
      <c r="D964" s="4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40"/>
      <c r="C965" s="136"/>
      <c r="D965" s="4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40"/>
      <c r="C966" s="136"/>
      <c r="D966" s="4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40"/>
      <c r="C967" s="136"/>
      <c r="D967" s="4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40"/>
      <c r="C968" s="136"/>
      <c r="D968" s="4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40"/>
      <c r="C969" s="136"/>
      <c r="D969" s="4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40"/>
      <c r="C970" s="136"/>
      <c r="D970" s="4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40"/>
      <c r="C971" s="136"/>
      <c r="D971" s="4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40"/>
      <c r="C972" s="136"/>
      <c r="D972" s="4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40"/>
      <c r="C973" s="136"/>
      <c r="D973" s="4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40"/>
      <c r="C974" s="136"/>
      <c r="D974" s="4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40"/>
      <c r="C975" s="136"/>
      <c r="D975" s="4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40"/>
      <c r="C976" s="136"/>
      <c r="D976" s="4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40"/>
      <c r="C977" s="136"/>
      <c r="D977" s="4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40"/>
      <c r="C978" s="136"/>
      <c r="D978" s="4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40"/>
      <c r="C979" s="136"/>
      <c r="D979" s="4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40"/>
      <c r="C980" s="136"/>
      <c r="D980" s="4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40"/>
      <c r="C981" s="136"/>
      <c r="D981" s="4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40"/>
      <c r="C982" s="136"/>
      <c r="D982" s="4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40"/>
      <c r="C983" s="136"/>
      <c r="D983" s="4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40"/>
      <c r="C984" s="136"/>
      <c r="D984" s="4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40"/>
      <c r="C985" s="136"/>
      <c r="D985" s="4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40"/>
      <c r="C986" s="136"/>
      <c r="D986" s="4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40"/>
      <c r="C987" s="136"/>
      <c r="D987" s="4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40"/>
      <c r="C988" s="136"/>
      <c r="D988" s="4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40"/>
      <c r="C989" s="136"/>
      <c r="D989" s="4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40"/>
      <c r="C990" s="136"/>
      <c r="D990" s="4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40"/>
      <c r="C991" s="136"/>
      <c r="D991" s="4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40"/>
      <c r="C992" s="136"/>
      <c r="D992" s="4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40"/>
      <c r="C993" s="136"/>
      <c r="D993" s="4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40"/>
      <c r="C994" s="136"/>
      <c r="D994" s="4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40"/>
      <c r="C995" s="136"/>
      <c r="D995" s="4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40"/>
      <c r="C996" s="136"/>
      <c r="D996" s="4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40"/>
      <c r="C997" s="136"/>
      <c r="D997" s="4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40"/>
      <c r="C998" s="136"/>
      <c r="D998" s="4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40"/>
      <c r="C999" s="136"/>
      <c r="D999" s="4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40"/>
      <c r="C1000" s="136"/>
      <c r="D1000" s="4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40"/>
      <c r="C1001" s="136"/>
      <c r="D1001" s="42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40"/>
      <c r="C1002" s="136"/>
      <c r="D1002" s="42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40"/>
      <c r="C1003" s="136"/>
      <c r="D1003" s="4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40"/>
      <c r="C1004" s="136"/>
      <c r="D1004" s="42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40"/>
      <c r="C1005" s="136"/>
      <c r="D1005" s="42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40"/>
      <c r="C1006" s="136"/>
      <c r="D1006" s="42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40"/>
      <c r="C1007" s="136"/>
      <c r="D1007" s="42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40"/>
      <c r="C1008" s="136"/>
      <c r="D1008" s="42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40"/>
      <c r="C1009" s="136"/>
      <c r="D1009" s="42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40"/>
      <c r="C1010" s="136"/>
      <c r="D1010" s="42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</sheetData>
  <mergeCells count="35">
    <mergeCell ref="G19:H19"/>
    <mergeCell ref="F24:J24"/>
    <mergeCell ref="A2:A10"/>
    <mergeCell ref="F7:F8"/>
    <mergeCell ref="G13:H13"/>
    <mergeCell ref="G14:H14"/>
    <mergeCell ref="G15:H15"/>
    <mergeCell ref="G16:H16"/>
    <mergeCell ref="G18:H18"/>
    <mergeCell ref="A11:A18"/>
    <mergeCell ref="A19:A25"/>
    <mergeCell ref="A26:A27"/>
    <mergeCell ref="A28:A32"/>
    <mergeCell ref="A33:A37"/>
    <mergeCell ref="A38:A43"/>
    <mergeCell ref="A44:A46"/>
    <mergeCell ref="A47:A52"/>
    <mergeCell ref="A53:A56"/>
    <mergeCell ref="A57:A61"/>
    <mergeCell ref="A62:A64"/>
    <mergeCell ref="A65:A71"/>
    <mergeCell ref="A72:A77"/>
    <mergeCell ref="A78:A81"/>
    <mergeCell ref="A126:A128"/>
    <mergeCell ref="A129:A130"/>
    <mergeCell ref="A131:A137"/>
    <mergeCell ref="A138:A140"/>
    <mergeCell ref="A141:A144"/>
    <mergeCell ref="A82:A96"/>
    <mergeCell ref="A98:A99"/>
    <mergeCell ref="A100:A106"/>
    <mergeCell ref="A107:A112"/>
    <mergeCell ref="A115:A118"/>
    <mergeCell ref="A119:A123"/>
    <mergeCell ref="A124:A125"/>
  </mergeCells>
  <conditionalFormatting sqref="F27:J108">
    <cfRule type="expression" dxfId="0" priority="1">
      <formula>$I27=TRUE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13"/>
    <col customWidth="1" min="4" max="4" width="21.88"/>
    <col customWidth="1" min="5" max="5" width="15.63"/>
    <col customWidth="1" min="6" max="6" width="24.38"/>
    <col customWidth="1" min="7" max="7" width="41.38"/>
    <col customWidth="1" min="8" max="8" width="14.38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8">
        <v>46140.0</v>
      </c>
      <c r="B2" s="41" t="s">
        <v>200</v>
      </c>
      <c r="C2" s="41">
        <v>20.0</v>
      </c>
      <c r="D2" s="99" t="s">
        <v>40</v>
      </c>
      <c r="E2" s="41"/>
      <c r="F2" s="100">
        <v>46140.0</v>
      </c>
      <c r="G2" s="101" t="s">
        <v>311</v>
      </c>
      <c r="H2" s="102">
        <f>'T42026'!G18+26920</f>
        <v>26989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41" t="s">
        <v>50</v>
      </c>
      <c r="C3" s="41">
        <v>27.0</v>
      </c>
      <c r="D3" s="99" t="s">
        <v>40</v>
      </c>
      <c r="E3" s="41"/>
      <c r="F3" s="92"/>
      <c r="G3" s="41" t="s">
        <v>157</v>
      </c>
      <c r="H3" s="104">
        <v>5550.0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1" t="s">
        <v>105</v>
      </c>
      <c r="C4" s="41">
        <v>61.0</v>
      </c>
      <c r="D4" s="99" t="s">
        <v>40</v>
      </c>
      <c r="E4" s="5"/>
      <c r="F4" s="103">
        <v>46141.0</v>
      </c>
      <c r="G4" s="41" t="s">
        <v>312</v>
      </c>
      <c r="H4" s="104">
        <v>2000.0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41" t="s">
        <v>41</v>
      </c>
      <c r="C5" s="41">
        <v>5000.0</v>
      </c>
      <c r="D5" s="99" t="s">
        <v>101</v>
      </c>
      <c r="E5" s="41"/>
      <c r="F5" s="92"/>
      <c r="G5" s="41" t="s">
        <v>313</v>
      </c>
      <c r="H5" s="104">
        <v>1000.0</v>
      </c>
      <c r="I5" s="4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8">
        <v>46141.0</v>
      </c>
      <c r="B6" s="41" t="s">
        <v>33</v>
      </c>
      <c r="C6" s="41">
        <v>2000.0</v>
      </c>
      <c r="D6" s="99" t="s">
        <v>33</v>
      </c>
      <c r="E6" s="5"/>
      <c r="F6" s="103">
        <v>46164.0</v>
      </c>
      <c r="G6" s="41" t="s">
        <v>250</v>
      </c>
      <c r="H6" s="104">
        <v>1000.0</v>
      </c>
      <c r="I6" s="4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41" t="s">
        <v>84</v>
      </c>
      <c r="C7" s="41">
        <v>3000.0</v>
      </c>
      <c r="D7" s="99" t="s">
        <v>84</v>
      </c>
      <c r="E7" s="5"/>
      <c r="F7" s="103"/>
      <c r="G7" s="41" t="s">
        <v>314</v>
      </c>
      <c r="H7" s="104">
        <v>3820.0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41" t="s">
        <v>35</v>
      </c>
      <c r="C8" s="41">
        <v>3000.0</v>
      </c>
      <c r="D8" s="99" t="s">
        <v>35</v>
      </c>
      <c r="E8" s="5"/>
      <c r="F8" s="103"/>
      <c r="G8" s="41"/>
      <c r="H8" s="10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41" t="s">
        <v>50</v>
      </c>
      <c r="C9" s="41">
        <v>28.0</v>
      </c>
      <c r="D9" s="99" t="s">
        <v>40</v>
      </c>
      <c r="E9" s="5"/>
      <c r="F9" s="103"/>
      <c r="G9" s="41"/>
      <c r="H9" s="10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B10" s="41" t="s">
        <v>56</v>
      </c>
      <c r="C10" s="41">
        <v>16.0</v>
      </c>
      <c r="D10" s="99" t="s">
        <v>40</v>
      </c>
      <c r="E10" s="5"/>
      <c r="F10" s="103"/>
      <c r="G10" s="41"/>
      <c r="H10" s="10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B11" s="41" t="s">
        <v>91</v>
      </c>
      <c r="C11" s="41">
        <f>107+10</f>
        <v>117</v>
      </c>
      <c r="D11" s="99" t="s">
        <v>40</v>
      </c>
      <c r="E11" s="41"/>
      <c r="F11" s="103"/>
      <c r="G11" s="41"/>
      <c r="H11" s="10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8">
        <v>46142.0</v>
      </c>
      <c r="B12" s="41" t="s">
        <v>80</v>
      </c>
      <c r="C12" s="41">
        <v>110.0</v>
      </c>
      <c r="D12" s="99" t="s">
        <v>40</v>
      </c>
      <c r="E12" s="5"/>
      <c r="F12" s="112"/>
      <c r="G12" s="113"/>
      <c r="H12" s="11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41" t="s">
        <v>2</v>
      </c>
      <c r="C13" s="41">
        <v>1000.0</v>
      </c>
      <c r="D13" s="99" t="s">
        <v>2</v>
      </c>
      <c r="E13" s="5"/>
      <c r="F13" s="115" t="s">
        <v>49</v>
      </c>
      <c r="G13" s="116">
        <f>SUM(H2:H12)</f>
        <v>40359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41" t="s">
        <v>35</v>
      </c>
      <c r="C14" s="41">
        <v>1000.0</v>
      </c>
      <c r="D14" s="99" t="s">
        <v>35</v>
      </c>
      <c r="E14" s="5"/>
      <c r="F14" s="117" t="s">
        <v>51</v>
      </c>
      <c r="G14" s="118">
        <f>SUMPRODUCT(((D2:D230&lt;&gt;"Credit")*(D2:D230&lt;&gt;"Qũy Shinhan"))*C2:C230) + G15</f>
        <v>40359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41" t="s">
        <v>315</v>
      </c>
      <c r="C15" s="41">
        <v>525.0</v>
      </c>
      <c r="D15" s="99" t="s">
        <v>190</v>
      </c>
      <c r="E15" s="5"/>
      <c r="F15" s="117" t="s">
        <v>53</v>
      </c>
      <c r="G15" s="119">
        <f>1+245+383+38+92-37+1+77</f>
        <v>800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B16" s="41" t="s">
        <v>93</v>
      </c>
      <c r="C16" s="5">
        <f>30+52</f>
        <v>82</v>
      </c>
      <c r="D16" s="99" t="s">
        <v>40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8">
        <v>46143.0</v>
      </c>
      <c r="B17" s="41" t="s">
        <v>91</v>
      </c>
      <c r="C17" s="5">
        <f>30+20</f>
        <v>50</v>
      </c>
      <c r="D17" s="99" t="s">
        <v>40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B18" s="41" t="s">
        <v>179</v>
      </c>
      <c r="C18" s="41">
        <v>17.0</v>
      </c>
      <c r="D18" s="99" t="s">
        <v>40</v>
      </c>
      <c r="E18" s="41"/>
      <c r="F18" s="117" t="s">
        <v>57</v>
      </c>
      <c r="G18" s="121">
        <f>G13-G14-J26</f>
        <v>0</v>
      </c>
      <c r="H18" s="3"/>
      <c r="I18" s="41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8">
        <v>46144.0</v>
      </c>
      <c r="B19" s="41" t="s">
        <v>316</v>
      </c>
      <c r="C19" s="41">
        <v>3000.0</v>
      </c>
      <c r="D19" s="99" t="s">
        <v>86</v>
      </c>
      <c r="E19" s="5"/>
      <c r="F19" s="117" t="s">
        <v>59</v>
      </c>
      <c r="G19" s="122">
        <f>G13-G14</f>
        <v>0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B20" s="41" t="s">
        <v>50</v>
      </c>
      <c r="C20" s="41">
        <v>30.0</v>
      </c>
      <c r="D20" s="99" t="s">
        <v>40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B21" s="41" t="s">
        <v>148</v>
      </c>
      <c r="C21" s="41">
        <v>14.0</v>
      </c>
      <c r="D21" s="99" t="s">
        <v>40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41" t="s">
        <v>179</v>
      </c>
      <c r="C22" s="41">
        <v>22.0</v>
      </c>
      <c r="D22" s="99" t="s">
        <v>40</v>
      </c>
      <c r="E22" s="5"/>
      <c r="F22" s="124" t="s">
        <v>40</v>
      </c>
      <c r="G22" s="19">
        <v>8000.0</v>
      </c>
      <c r="H22" s="37">
        <f>SUMIF(D2:D153, "=Living expense",C2:C171)+G15</f>
        <v>7440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41" t="s">
        <v>80</v>
      </c>
      <c r="C23" s="41">
        <v>85.0</v>
      </c>
      <c r="D23" s="99" t="s">
        <v>40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B24" s="41" t="s">
        <v>140</v>
      </c>
      <c r="C24" s="41">
        <v>103.0</v>
      </c>
      <c r="D24" s="99" t="s">
        <v>40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41" t="s">
        <v>165</v>
      </c>
      <c r="C25" s="41">
        <f>26+845</f>
        <v>871</v>
      </c>
      <c r="D25" s="99" t="s">
        <v>66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8">
        <v>46145.0</v>
      </c>
      <c r="B26" s="41" t="s">
        <v>82</v>
      </c>
      <c r="C26" s="41">
        <v>40.0</v>
      </c>
      <c r="D26" s="99" t="s">
        <v>40</v>
      </c>
      <c r="E26" s="5"/>
      <c r="F26" s="126" t="s">
        <v>73</v>
      </c>
      <c r="G26" s="127">
        <f t="shared" ref="G26:H26" si="1">SUM(G27:G108)</f>
        <v>25871</v>
      </c>
      <c r="H26" s="128">
        <f t="shared" si="1"/>
        <v>31116</v>
      </c>
      <c r="I26" s="129"/>
      <c r="J26" s="128">
        <f>SUM(J27:J108)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B27" s="41" t="s">
        <v>317</v>
      </c>
      <c r="C27" s="41">
        <v>315.0</v>
      </c>
      <c r="D27" s="99" t="s">
        <v>40</v>
      </c>
      <c r="E27" s="5"/>
      <c r="F27" s="105" t="s">
        <v>66</v>
      </c>
      <c r="G27" s="107">
        <v>6871.0</v>
      </c>
      <c r="H27" s="130">
        <f>IFERROR(__xludf.DUMMYFUNCTION("SUMIF($D$2:$D$529, TO_TEXT(F27) ,$C$2:$C$529)"),6980.0)</f>
        <v>6980</v>
      </c>
      <c r="I27" s="41" t="b">
        <v>1</v>
      </c>
      <c r="J27" s="42">
        <f t="shared" ref="J27:J34" si="2">IF(I27=TRUE,0,MAX(G27-H27,0))</f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B28" s="41" t="s">
        <v>318</v>
      </c>
      <c r="C28" s="41">
        <v>30.0</v>
      </c>
      <c r="D28" s="99" t="s">
        <v>40</v>
      </c>
      <c r="E28" s="5"/>
      <c r="F28" s="105" t="s">
        <v>12</v>
      </c>
      <c r="G28" s="107">
        <v>3000.0</v>
      </c>
      <c r="H28" s="130">
        <f>IFERROR(__xludf.DUMMYFUNCTION("SUMIF($D$2:$D$529, TO_TEXT(F28) ,$C$2:$C$529)"),5000.0)</f>
        <v>5000</v>
      </c>
      <c r="I28" s="41" t="b">
        <v>1</v>
      </c>
      <c r="J28" s="42">
        <f t="shared" si="2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B29" s="41" t="s">
        <v>286</v>
      </c>
      <c r="C29" s="41">
        <v>117.0</v>
      </c>
      <c r="D29" s="99" t="s">
        <v>40</v>
      </c>
      <c r="E29" s="5"/>
      <c r="F29" s="41" t="s">
        <v>84</v>
      </c>
      <c r="G29" s="99">
        <v>3000.0</v>
      </c>
      <c r="H29" s="130">
        <f>IFERROR(__xludf.DUMMYFUNCTION("SUMIF($D$2:$D$529, TO_TEXT(F29) ,$C$2:$C$529)"),3000.0)</f>
        <v>3000</v>
      </c>
      <c r="I29" s="41" t="b">
        <v>1</v>
      </c>
      <c r="J29" s="42">
        <f t="shared" si="2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B30" s="41" t="s">
        <v>167</v>
      </c>
      <c r="C30" s="41">
        <v>20.0</v>
      </c>
      <c r="D30" s="99" t="s">
        <v>40</v>
      </c>
      <c r="E30" s="5"/>
      <c r="F30" s="105" t="s">
        <v>35</v>
      </c>
      <c r="G30" s="107">
        <v>3000.0</v>
      </c>
      <c r="H30" s="130">
        <f>IFERROR(__xludf.DUMMYFUNCTION("SUMIF($D$2:$D$529, TO_TEXT(F30) ,$C$2:$C$529)"),4000.0)</f>
        <v>4000</v>
      </c>
      <c r="I30" s="41" t="b">
        <v>1</v>
      </c>
      <c r="J30" s="42">
        <f t="shared" si="2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41" t="s">
        <v>130</v>
      </c>
      <c r="C31" s="41">
        <v>60.0</v>
      </c>
      <c r="D31" s="99" t="s">
        <v>40</v>
      </c>
      <c r="E31" s="5"/>
      <c r="F31" s="105" t="s">
        <v>101</v>
      </c>
      <c r="G31" s="107">
        <v>5000.0</v>
      </c>
      <c r="H31" s="130">
        <f>IFERROR(__xludf.DUMMYFUNCTION("SUMIF($D$2:$D$529, TO_TEXT(F31) ,$C$2:$C$529)"),5636.0)</f>
        <v>5636</v>
      </c>
      <c r="I31" s="41" t="b">
        <v>1</v>
      </c>
      <c r="J31" s="42">
        <f t="shared" si="2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8">
        <v>46146.0</v>
      </c>
      <c r="B32" s="41" t="s">
        <v>305</v>
      </c>
      <c r="C32" s="41">
        <v>80.0</v>
      </c>
      <c r="D32" s="99" t="s">
        <v>40</v>
      </c>
      <c r="E32" s="5"/>
      <c r="F32" s="41" t="s">
        <v>2</v>
      </c>
      <c r="G32" s="99">
        <v>1000.0</v>
      </c>
      <c r="H32" s="130">
        <f>IFERROR(__xludf.DUMMYFUNCTION("SUMIF($D$2:$D$529, TO_TEXT(F32) ,$C$2:$C$529)"),1500.0)</f>
        <v>1500</v>
      </c>
      <c r="I32" s="41" t="b">
        <v>1</v>
      </c>
      <c r="J32" s="42">
        <f t="shared" si="2"/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B33" s="41" t="s">
        <v>50</v>
      </c>
      <c r="C33" s="41">
        <v>27.0</v>
      </c>
      <c r="D33" s="99" t="s">
        <v>40</v>
      </c>
      <c r="E33" s="5"/>
      <c r="F33" s="41" t="s">
        <v>86</v>
      </c>
      <c r="G33" s="99">
        <v>3000.0</v>
      </c>
      <c r="H33" s="130">
        <f>IFERROR(__xludf.DUMMYFUNCTION("SUMIF($D$2:$D$529, TO_TEXT(F33) ,$C$2:$C$529)"),3000.0)</f>
        <v>3000</v>
      </c>
      <c r="I33" s="41" t="b">
        <v>1</v>
      </c>
      <c r="J33" s="42">
        <f t="shared" si="2"/>
        <v>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B34" s="41" t="s">
        <v>319</v>
      </c>
      <c r="C34" s="41">
        <v>20.0</v>
      </c>
      <c r="D34" s="99" t="s">
        <v>40</v>
      </c>
      <c r="E34" s="41"/>
      <c r="F34" s="105" t="s">
        <v>33</v>
      </c>
      <c r="G34" s="99">
        <v>1000.0</v>
      </c>
      <c r="H34" s="130">
        <f>IFERROR(__xludf.DUMMYFUNCTION("SUMIF($D$2:$D$529, TO_TEXT(F34) ,$C$2:$C$529)"),2000.0)</f>
        <v>2000</v>
      </c>
      <c r="I34" s="41" t="b">
        <v>1</v>
      </c>
      <c r="J34" s="42">
        <f t="shared" si="2"/>
        <v>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41" t="s">
        <v>130</v>
      </c>
      <c r="C35" s="41">
        <v>54.0</v>
      </c>
      <c r="D35" s="99" t="s">
        <v>40</v>
      </c>
      <c r="E35" s="5"/>
      <c r="F35" s="41"/>
      <c r="G35" s="99"/>
      <c r="H35" s="130"/>
      <c r="I35" s="41"/>
      <c r="J35" s="4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8">
        <v>46147.0</v>
      </c>
      <c r="B36" s="41" t="s">
        <v>50</v>
      </c>
      <c r="C36" s="41">
        <v>38.0</v>
      </c>
      <c r="D36" s="99" t="s">
        <v>40</v>
      </c>
      <c r="E36" s="5"/>
      <c r="F36" s="41"/>
      <c r="G36" s="99"/>
      <c r="H36" s="130"/>
      <c r="I36" s="41"/>
      <c r="J36" s="42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B37" s="41" t="s">
        <v>200</v>
      </c>
      <c r="C37" s="41">
        <v>20.0</v>
      </c>
      <c r="D37" s="99" t="s">
        <v>40</v>
      </c>
      <c r="E37" s="5"/>
      <c r="F37" s="41"/>
      <c r="G37" s="99"/>
      <c r="H37" s="130"/>
      <c r="I37" s="41"/>
      <c r="J37" s="4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B38" s="41" t="s">
        <v>163</v>
      </c>
      <c r="C38" s="41">
        <v>30.0</v>
      </c>
      <c r="D38" s="99" t="s">
        <v>101</v>
      </c>
      <c r="E38" s="41"/>
      <c r="F38" s="41"/>
      <c r="G38" s="99"/>
      <c r="H38" s="130"/>
      <c r="I38" s="99"/>
      <c r="J38" s="130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B39" s="41" t="s">
        <v>80</v>
      </c>
      <c r="C39" s="41">
        <v>96.0</v>
      </c>
      <c r="D39" s="99" t="s">
        <v>40</v>
      </c>
      <c r="E39" s="5"/>
      <c r="F39" s="41"/>
      <c r="G39" s="99"/>
      <c r="H39" s="130"/>
      <c r="I39" s="99"/>
      <c r="J39" s="130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B40" s="41" t="s">
        <v>2</v>
      </c>
      <c r="C40" s="41">
        <v>500.0</v>
      </c>
      <c r="D40" s="99" t="s">
        <v>2</v>
      </c>
      <c r="E40" s="41"/>
      <c r="F40" s="41"/>
      <c r="G40" s="99"/>
      <c r="H40" s="130"/>
      <c r="I40" s="99"/>
      <c r="J40" s="130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8">
        <v>46148.0</v>
      </c>
      <c r="B41" s="41" t="s">
        <v>50</v>
      </c>
      <c r="C41" s="41">
        <v>27.0</v>
      </c>
      <c r="D41" s="99" t="s">
        <v>40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B42" s="41" t="s">
        <v>56</v>
      </c>
      <c r="C42" s="41">
        <v>14.0</v>
      </c>
      <c r="D42" s="99" t="s">
        <v>40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41" t="s">
        <v>130</v>
      </c>
      <c r="C43" s="41">
        <v>54.0</v>
      </c>
      <c r="D43" s="99" t="s">
        <v>40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8">
        <v>46149.0</v>
      </c>
      <c r="B44" s="41" t="s">
        <v>182</v>
      </c>
      <c r="C44" s="41">
        <v>846.0</v>
      </c>
      <c r="D44" s="99" t="s">
        <v>48</v>
      </c>
      <c r="E44" s="5"/>
      <c r="F44" s="41"/>
      <c r="G44" s="99"/>
      <c r="H44" s="130"/>
      <c r="I44" s="99"/>
      <c r="J44" s="13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B45" s="41" t="s">
        <v>50</v>
      </c>
      <c r="C45" s="41">
        <v>42.0</v>
      </c>
      <c r="D45" s="99" t="s">
        <v>40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B46" s="41" t="s">
        <v>146</v>
      </c>
      <c r="C46" s="41">
        <v>40.0</v>
      </c>
      <c r="D46" s="99" t="s">
        <v>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B47" s="41" t="s">
        <v>265</v>
      </c>
      <c r="C47" s="41">
        <v>40.0</v>
      </c>
      <c r="D47" s="99" t="s">
        <v>40</v>
      </c>
      <c r="E47" s="5"/>
      <c r="F47" s="41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8">
        <v>46150.0</v>
      </c>
      <c r="B48" s="41" t="s">
        <v>50</v>
      </c>
      <c r="C48" s="41">
        <v>27.0</v>
      </c>
      <c r="D48" s="99" t="s">
        <v>40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B49" s="41" t="s">
        <v>200</v>
      </c>
      <c r="C49" s="41">
        <v>20.0</v>
      </c>
      <c r="D49" s="99" t="s">
        <v>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B50" s="41" t="s">
        <v>80</v>
      </c>
      <c r="C50" s="41">
        <v>80.0</v>
      </c>
      <c r="D50" s="99" t="s">
        <v>40</v>
      </c>
      <c r="E50" s="4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B51" s="41" t="s">
        <v>146</v>
      </c>
      <c r="C51" s="41">
        <v>40.0</v>
      </c>
      <c r="D51" s="99" t="s">
        <v>101</v>
      </c>
      <c r="E51" s="4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B52" s="41" t="s">
        <v>108</v>
      </c>
      <c r="C52" s="41">
        <v>500.0</v>
      </c>
      <c r="D52" s="99" t="s">
        <v>34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B53" s="41" t="s">
        <v>320</v>
      </c>
      <c r="C53" s="41">
        <v>105.0</v>
      </c>
      <c r="D53" s="99" t="s">
        <v>40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98">
        <v>46151.0</v>
      </c>
      <c r="B54" s="41" t="s">
        <v>200</v>
      </c>
      <c r="C54" s="41">
        <v>59.0</v>
      </c>
      <c r="D54" s="99" t="s">
        <v>40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41" t="s">
        <v>133</v>
      </c>
      <c r="C55" s="41">
        <v>20.0</v>
      </c>
      <c r="D55" s="99" t="s">
        <v>40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B56" s="41" t="s">
        <v>82</v>
      </c>
      <c r="C56" s="41">
        <v>40.0</v>
      </c>
      <c r="D56" s="99" t="s">
        <v>40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B57" s="41" t="s">
        <v>105</v>
      </c>
      <c r="C57" s="41">
        <v>30.0</v>
      </c>
      <c r="D57" s="99" t="s">
        <v>40</v>
      </c>
      <c r="E57" s="4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B58" s="41" t="s">
        <v>130</v>
      </c>
      <c r="C58" s="41">
        <v>73.0</v>
      </c>
      <c r="D58" s="99" t="s">
        <v>40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98">
        <v>46152.0</v>
      </c>
      <c r="B59" s="41" t="s">
        <v>148</v>
      </c>
      <c r="C59" s="41">
        <v>61.0</v>
      </c>
      <c r="D59" s="99" t="s">
        <v>40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B60" s="41" t="s">
        <v>89</v>
      </c>
      <c r="C60" s="41">
        <v>40.0</v>
      </c>
      <c r="D60" s="99" t="s">
        <v>40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B61" s="41" t="s">
        <v>321</v>
      </c>
      <c r="C61" s="41">
        <v>22.0</v>
      </c>
      <c r="D61" s="99" t="s">
        <v>40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B62" s="41" t="s">
        <v>50</v>
      </c>
      <c r="C62" s="41">
        <v>30.0</v>
      </c>
      <c r="D62" s="99" t="s">
        <v>40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B63" s="41" t="s">
        <v>167</v>
      </c>
      <c r="C63" s="41">
        <v>10.0</v>
      </c>
      <c r="D63" s="99" t="s">
        <v>40</v>
      </c>
      <c r="E63" s="4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B64" s="41" t="s">
        <v>54</v>
      </c>
      <c r="C64" s="41">
        <v>66.0</v>
      </c>
      <c r="D64" s="99" t="s">
        <v>40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B65" s="41" t="s">
        <v>148</v>
      </c>
      <c r="C65" s="41">
        <v>58.0</v>
      </c>
      <c r="D65" s="99" t="s">
        <v>40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98">
        <v>46153.0</v>
      </c>
      <c r="B66" s="41" t="s">
        <v>305</v>
      </c>
      <c r="C66" s="41">
        <v>57.0</v>
      </c>
      <c r="D66" s="99" t="s">
        <v>40</v>
      </c>
      <c r="E66" s="4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B67" s="41" t="s">
        <v>50</v>
      </c>
      <c r="C67" s="41">
        <v>27.0</v>
      </c>
      <c r="D67" s="99" t="s">
        <v>40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B68" s="41" t="s">
        <v>200</v>
      </c>
      <c r="C68" s="41">
        <v>20.0</v>
      </c>
      <c r="D68" s="99" t="s">
        <v>40</v>
      </c>
      <c r="E68" s="4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B69" s="41" t="s">
        <v>322</v>
      </c>
      <c r="C69" s="41">
        <v>20.0</v>
      </c>
      <c r="D69" s="99" t="s">
        <v>40</v>
      </c>
      <c r="E69" s="4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B70" s="41" t="s">
        <v>80</v>
      </c>
      <c r="C70" s="41">
        <v>100.0</v>
      </c>
      <c r="D70" s="99" t="s">
        <v>40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98">
        <v>46154.0</v>
      </c>
      <c r="B71" s="41" t="s">
        <v>323</v>
      </c>
      <c r="C71" s="41">
        <v>54.0</v>
      </c>
      <c r="D71" s="99" t="s">
        <v>48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B72" s="41" t="s">
        <v>93</v>
      </c>
      <c r="C72" s="5">
        <f>91-35</f>
        <v>56</v>
      </c>
      <c r="D72" s="99" t="s">
        <v>40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B73" s="41" t="s">
        <v>324</v>
      </c>
      <c r="C73" s="41">
        <v>11.0</v>
      </c>
      <c r="D73" s="99" t="s">
        <v>40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41" t="s">
        <v>325</v>
      </c>
      <c r="C74" s="5">
        <f>40+160+160+118</f>
        <v>478</v>
      </c>
      <c r="D74" s="99" t="s">
        <v>190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98">
        <v>46155.0</v>
      </c>
      <c r="B75" s="41" t="s">
        <v>91</v>
      </c>
      <c r="C75" s="41">
        <f>122-56</f>
        <v>66</v>
      </c>
      <c r="D75" s="99" t="s">
        <v>40</v>
      </c>
      <c r="E75" s="4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41" t="s">
        <v>326</v>
      </c>
      <c r="C76" s="41">
        <v>33.0</v>
      </c>
      <c r="D76" s="99" t="s">
        <v>40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98">
        <v>46156.0</v>
      </c>
      <c r="B77" s="41" t="s">
        <v>231</v>
      </c>
      <c r="C77" s="41">
        <v>28.0</v>
      </c>
      <c r="D77" s="99" t="s">
        <v>40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B78" s="41" t="s">
        <v>152</v>
      </c>
      <c r="C78" s="41">
        <v>48.0</v>
      </c>
      <c r="D78" s="99" t="s">
        <v>40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B79" s="41" t="s">
        <v>327</v>
      </c>
      <c r="C79" s="41">
        <f>3+38</f>
        <v>41</v>
      </c>
      <c r="D79" s="99" t="s">
        <v>40</v>
      </c>
      <c r="E79" s="4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B80" s="41" t="s">
        <v>148</v>
      </c>
      <c r="C80" s="5">
        <f>65</f>
        <v>65</v>
      </c>
      <c r="D80" s="99" t="s">
        <v>40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8">
        <v>46157.0</v>
      </c>
      <c r="B81" s="41" t="s">
        <v>66</v>
      </c>
      <c r="C81" s="41">
        <v>6000.0</v>
      </c>
      <c r="D81" s="99" t="s">
        <v>66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B82" s="137" t="s">
        <v>328</v>
      </c>
      <c r="C82" s="137">
        <v>5000.0</v>
      </c>
      <c r="D82" s="138" t="s">
        <v>329</v>
      </c>
      <c r="E82" s="4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B83" s="41" t="s">
        <v>12</v>
      </c>
      <c r="C83" s="41">
        <v>5000.0</v>
      </c>
      <c r="D83" s="99" t="s">
        <v>12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41" t="s">
        <v>330</v>
      </c>
      <c r="C84" s="41">
        <v>106.0</v>
      </c>
      <c r="D84" s="99" t="s">
        <v>40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B85" s="41" t="s">
        <v>331</v>
      </c>
      <c r="C85" s="5">
        <f>10+30+40</f>
        <v>80</v>
      </c>
      <c r="D85" s="99" t="s">
        <v>40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98">
        <v>46158.0</v>
      </c>
      <c r="B86" s="41" t="s">
        <v>332</v>
      </c>
      <c r="C86" s="5">
        <f>145-92</f>
        <v>53</v>
      </c>
      <c r="D86" s="99" t="s">
        <v>40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B87" s="41" t="s">
        <v>37</v>
      </c>
      <c r="C87" s="41">
        <v>60.0</v>
      </c>
      <c r="D87" s="99" t="s">
        <v>40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B88" s="41" t="s">
        <v>50</v>
      </c>
      <c r="C88" s="5">
        <f>150-55</f>
        <v>95</v>
      </c>
      <c r="D88" s="99" t="s">
        <v>40</v>
      </c>
      <c r="E88" s="4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B89" s="41" t="s">
        <v>91</v>
      </c>
      <c r="C89" s="5">
        <f>126-62</f>
        <v>64</v>
      </c>
      <c r="D89" s="99" t="s">
        <v>40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B90" s="41" t="s">
        <v>333</v>
      </c>
      <c r="C90" s="41">
        <v>42.0</v>
      </c>
      <c r="D90" s="99" t="s">
        <v>40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B91" s="41" t="s">
        <v>334</v>
      </c>
      <c r="C91" s="41">
        <v>102.0</v>
      </c>
      <c r="D91" s="99" t="s">
        <v>40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41" t="s">
        <v>335</v>
      </c>
      <c r="C92" s="41">
        <v>109.0</v>
      </c>
      <c r="D92" s="99" t="s">
        <v>66</v>
      </c>
      <c r="E92" s="4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8">
        <v>46159.0</v>
      </c>
      <c r="B93" s="41" t="s">
        <v>336</v>
      </c>
      <c r="C93" s="41">
        <v>33.0</v>
      </c>
      <c r="D93" s="99" t="s">
        <v>40</v>
      </c>
      <c r="E93" s="4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B94" s="41" t="s">
        <v>91</v>
      </c>
      <c r="C94" s="41">
        <v>30.0</v>
      </c>
      <c r="D94" s="99" t="s">
        <v>40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B95" s="41" t="s">
        <v>80</v>
      </c>
      <c r="C95" s="5">
        <f>66+10</f>
        <v>76</v>
      </c>
      <c r="D95" s="99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98">
        <v>46160.0</v>
      </c>
      <c r="B96" s="41" t="s">
        <v>152</v>
      </c>
      <c r="C96" s="41">
        <v>15.0</v>
      </c>
      <c r="D96" s="99" t="s">
        <v>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B97" s="41" t="s">
        <v>337</v>
      </c>
      <c r="C97" s="41">
        <v>64.0</v>
      </c>
      <c r="D97" s="99" t="s">
        <v>40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B98" s="137" t="s">
        <v>108</v>
      </c>
      <c r="C98" s="137">
        <v>500.0</v>
      </c>
      <c r="D98" s="138" t="s">
        <v>329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B99" s="137" t="s">
        <v>338</v>
      </c>
      <c r="C99" s="137">
        <v>960.0</v>
      </c>
      <c r="D99" s="138" t="s">
        <v>329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98">
        <v>46161.0</v>
      </c>
      <c r="B100" s="41" t="s">
        <v>242</v>
      </c>
      <c r="C100" s="41">
        <v>85.0</v>
      </c>
      <c r="D100" s="99" t="s">
        <v>40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B101" s="41" t="s">
        <v>56</v>
      </c>
      <c r="C101" s="41">
        <v>16.0</v>
      </c>
      <c r="D101" s="99" t="s">
        <v>40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B102" s="41" t="s">
        <v>213</v>
      </c>
      <c r="C102" s="41">
        <v>83.0</v>
      </c>
      <c r="D102" s="99" t="s">
        <v>40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B103" s="41" t="s">
        <v>339</v>
      </c>
      <c r="C103" s="41">
        <v>40.0</v>
      </c>
      <c r="D103" s="99" t="s">
        <v>40</v>
      </c>
      <c r="E103" s="4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B104" s="41" t="s">
        <v>148</v>
      </c>
      <c r="C104" s="41">
        <v>36.0</v>
      </c>
      <c r="D104" s="99" t="s">
        <v>40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B105" s="41" t="s">
        <v>242</v>
      </c>
      <c r="C105" s="41">
        <v>84.0</v>
      </c>
      <c r="D105" s="99" t="s">
        <v>101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98">
        <v>46162.0</v>
      </c>
      <c r="B106" s="41" t="s">
        <v>340</v>
      </c>
      <c r="C106" s="5">
        <f>103-60</f>
        <v>43</v>
      </c>
      <c r="D106" s="99" t="s">
        <v>40</v>
      </c>
      <c r="E106" s="4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B107" s="41" t="s">
        <v>56</v>
      </c>
      <c r="C107" s="41">
        <v>16.0</v>
      </c>
      <c r="D107" s="99" t="s">
        <v>40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B108" s="41" t="s">
        <v>212</v>
      </c>
      <c r="C108" s="41">
        <v>10.0</v>
      </c>
      <c r="D108" s="99" t="s">
        <v>40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B109" s="41" t="s">
        <v>91</v>
      </c>
      <c r="C109" s="41">
        <v>61.0</v>
      </c>
      <c r="D109" s="99" t="s">
        <v>40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B110" s="41" t="s">
        <v>146</v>
      </c>
      <c r="C110" s="41">
        <v>40.0</v>
      </c>
      <c r="D110" s="99" t="s">
        <v>101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98">
        <v>46163.0</v>
      </c>
      <c r="B111" s="41" t="s">
        <v>200</v>
      </c>
      <c r="C111" s="41">
        <v>20.0</v>
      </c>
      <c r="D111" s="99" t="s">
        <v>40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41" t="s">
        <v>93</v>
      </c>
      <c r="C112" s="41">
        <v>28.0</v>
      </c>
      <c r="D112" s="99" t="s">
        <v>40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B113" s="41" t="s">
        <v>327</v>
      </c>
      <c r="C113" s="5">
        <f>15+3+82-60</f>
        <v>40</v>
      </c>
      <c r="D113" s="99" t="s">
        <v>40</v>
      </c>
      <c r="E113" s="4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B114" s="41" t="s">
        <v>148</v>
      </c>
      <c r="C114" s="5">
        <f>16+68</f>
        <v>84</v>
      </c>
      <c r="D114" s="99" t="s">
        <v>40</v>
      </c>
      <c r="E114" s="4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98">
        <v>46164.0</v>
      </c>
      <c r="B115" s="41" t="s">
        <v>50</v>
      </c>
      <c r="C115" s="41">
        <v>47.0</v>
      </c>
      <c r="D115" s="99" t="s">
        <v>40</v>
      </c>
      <c r="E115" s="4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B116" s="41" t="s">
        <v>152</v>
      </c>
      <c r="C116" s="41">
        <v>42.0</v>
      </c>
      <c r="D116" s="99" t="s">
        <v>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B117" s="41" t="s">
        <v>154</v>
      </c>
      <c r="C117" s="41">
        <v>348.0</v>
      </c>
      <c r="D117" s="99" t="s">
        <v>40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B118" s="41" t="s">
        <v>143</v>
      </c>
      <c r="C118" s="41">
        <v>20.0</v>
      </c>
      <c r="D118" s="99" t="s">
        <v>40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B119" s="41" t="s">
        <v>153</v>
      </c>
      <c r="C119" s="41">
        <v>70.0</v>
      </c>
      <c r="D119" s="99" t="s">
        <v>40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B120" s="41" t="s">
        <v>148</v>
      </c>
      <c r="C120" s="41">
        <v>128.0</v>
      </c>
      <c r="D120" s="99" t="s">
        <v>40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B121" s="41" t="s">
        <v>41</v>
      </c>
      <c r="C121" s="41">
        <v>400.0</v>
      </c>
      <c r="D121" s="99" t="s">
        <v>101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98">
        <v>46165.0</v>
      </c>
      <c r="B122" s="41" t="s">
        <v>341</v>
      </c>
      <c r="C122" s="5">
        <f>20+22</f>
        <v>42</v>
      </c>
      <c r="D122" s="99" t="s">
        <v>101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B123" s="41" t="s">
        <v>226</v>
      </c>
      <c r="C123" s="41">
        <v>30.0</v>
      </c>
      <c r="D123" s="99" t="s">
        <v>40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B124" s="41" t="s">
        <v>37</v>
      </c>
      <c r="C124" s="41">
        <v>60.0</v>
      </c>
      <c r="D124" s="99" t="s">
        <v>40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B125" s="41" t="s">
        <v>342</v>
      </c>
      <c r="C125" s="41">
        <v>20.0</v>
      </c>
      <c r="D125" s="99" t="s">
        <v>40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B126" s="41" t="s">
        <v>343</v>
      </c>
      <c r="C126" s="41">
        <v>40.0</v>
      </c>
      <c r="D126" s="99" t="s">
        <v>40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98">
        <v>46166.0</v>
      </c>
      <c r="B127" s="41" t="s">
        <v>173</v>
      </c>
      <c r="C127" s="41">
        <v>75.0</v>
      </c>
      <c r="D127" s="99" t="s">
        <v>40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B128" s="41" t="s">
        <v>148</v>
      </c>
      <c r="C128" s="41">
        <v>53.0</v>
      </c>
      <c r="D128" s="99" t="s">
        <v>40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98">
        <v>46167.0</v>
      </c>
      <c r="B129" s="30" t="s">
        <v>143</v>
      </c>
      <c r="C129" s="131">
        <v>100.0</v>
      </c>
      <c r="D129" s="99" t="s">
        <v>40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B130" s="30" t="s">
        <v>344</v>
      </c>
      <c r="C130" s="131">
        <v>300.0</v>
      </c>
      <c r="D130" s="99" t="s">
        <v>190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B131" s="30" t="s">
        <v>200</v>
      </c>
      <c r="C131" s="131">
        <v>20.0</v>
      </c>
      <c r="D131" s="99" t="s">
        <v>40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B132" s="30" t="s">
        <v>345</v>
      </c>
      <c r="C132" s="131">
        <v>303.0</v>
      </c>
      <c r="D132" s="99" t="s">
        <v>40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98">
        <v>46168.0</v>
      </c>
      <c r="B133" s="30" t="s">
        <v>50</v>
      </c>
      <c r="C133" s="131">
        <v>27.0</v>
      </c>
      <c r="D133" s="99" t="s">
        <v>40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B134" s="30" t="s">
        <v>91</v>
      </c>
      <c r="C134" s="131">
        <v>68.0</v>
      </c>
      <c r="D134" s="99" t="s">
        <v>40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B135" s="30" t="s">
        <v>327</v>
      </c>
      <c r="C135" s="131">
        <f>15+3+20</f>
        <v>38</v>
      </c>
      <c r="D135" s="99" t="s">
        <v>40</v>
      </c>
      <c r="E135" s="41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98">
        <v>46169.0</v>
      </c>
      <c r="B136" s="132" t="s">
        <v>346</v>
      </c>
      <c r="C136" s="131">
        <v>45.0</v>
      </c>
      <c r="D136" s="99" t="s">
        <v>40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B137" s="132" t="s">
        <v>50</v>
      </c>
      <c r="C137" s="131">
        <v>33.0</v>
      </c>
      <c r="D137" s="99" t="s">
        <v>40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B138" s="132" t="s">
        <v>347</v>
      </c>
      <c r="C138" s="131">
        <v>23.0</v>
      </c>
      <c r="D138" s="99" t="s">
        <v>40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B139" s="132" t="s">
        <v>91</v>
      </c>
      <c r="C139" s="131">
        <f>95-37</f>
        <v>58</v>
      </c>
      <c r="D139" s="99" t="s">
        <v>40</v>
      </c>
      <c r="E139" s="4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B140" s="132" t="s">
        <v>243</v>
      </c>
      <c r="C140" s="131">
        <v>40.0</v>
      </c>
      <c r="D140" s="99" t="s">
        <v>40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B141" s="132" t="s">
        <v>148</v>
      </c>
      <c r="C141" s="131">
        <v>30.0</v>
      </c>
      <c r="D141" s="99" t="s">
        <v>40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98">
        <v>46170.0</v>
      </c>
      <c r="B142" s="132" t="s">
        <v>348</v>
      </c>
      <c r="C142" s="131">
        <v>579.0</v>
      </c>
      <c r="D142" s="99" t="s">
        <v>48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B143" s="132" t="s">
        <v>200</v>
      </c>
      <c r="C143" s="131">
        <v>20.0</v>
      </c>
      <c r="D143" s="99" t="s">
        <v>40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B144" s="132" t="s">
        <v>349</v>
      </c>
      <c r="C144" s="131">
        <v>30.0</v>
      </c>
      <c r="D144" s="99" t="s">
        <v>40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B145" s="132" t="s">
        <v>242</v>
      </c>
      <c r="C145" s="131">
        <v>93.0</v>
      </c>
      <c r="D145" s="99" t="s">
        <v>40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B146" s="132" t="s">
        <v>140</v>
      </c>
      <c r="C146" s="131">
        <v>168.0</v>
      </c>
      <c r="D146" s="99" t="s">
        <v>40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98"/>
      <c r="B147" s="134"/>
      <c r="C147" s="131"/>
      <c r="D147" s="99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33"/>
      <c r="B148" s="134"/>
      <c r="C148" s="131"/>
      <c r="D148" s="99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33"/>
      <c r="B149" s="134"/>
      <c r="C149" s="131"/>
      <c r="D149" s="99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40"/>
      <c r="C150" s="131"/>
      <c r="D150" s="99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40"/>
      <c r="C151" s="131"/>
      <c r="D151" s="99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40"/>
      <c r="C152" s="131"/>
      <c r="D152" s="99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40"/>
      <c r="C153" s="131"/>
      <c r="D153" s="99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40"/>
      <c r="C154" s="131"/>
      <c r="D154" s="99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40"/>
      <c r="C155" s="131"/>
      <c r="D155" s="99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40"/>
      <c r="C156" s="131"/>
      <c r="D156" s="99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40"/>
      <c r="C157" s="131"/>
      <c r="D157" s="99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40"/>
      <c r="C158" s="131"/>
      <c r="D158" s="99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40"/>
      <c r="C159" s="131"/>
      <c r="D159" s="99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40"/>
      <c r="C160" s="131"/>
      <c r="D160" s="99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40"/>
      <c r="C161" s="131"/>
      <c r="D161" s="99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40"/>
      <c r="C162" s="131"/>
      <c r="D162" s="99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40"/>
      <c r="C163" s="131"/>
      <c r="D163" s="99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40"/>
      <c r="C164" s="131"/>
      <c r="D164" s="99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40"/>
      <c r="C165" s="131"/>
      <c r="D165" s="99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40"/>
      <c r="C166" s="131"/>
      <c r="D166" s="99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40"/>
      <c r="C167" s="131"/>
      <c r="D167" s="99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40"/>
      <c r="C168" s="131"/>
      <c r="D168" s="99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40"/>
      <c r="C169" s="131"/>
      <c r="D169" s="99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40"/>
      <c r="C170" s="131"/>
      <c r="D170" s="99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40"/>
      <c r="C171" s="131"/>
      <c r="D171" s="99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40"/>
      <c r="C172" s="131"/>
      <c r="D172" s="99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40"/>
      <c r="C173" s="131"/>
      <c r="D173" s="99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40"/>
      <c r="C174" s="131"/>
      <c r="D174" s="99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40"/>
      <c r="C175" s="131"/>
      <c r="D175" s="99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40"/>
      <c r="C176" s="131"/>
      <c r="D176" s="99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40"/>
      <c r="C177" s="131"/>
      <c r="D177" s="4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40"/>
      <c r="C178" s="131"/>
      <c r="D178" s="4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40"/>
      <c r="C179" s="131"/>
      <c r="D179" s="4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40"/>
      <c r="C180" s="131"/>
      <c r="D180" s="4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40"/>
      <c r="C181" s="131"/>
      <c r="D181" s="4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40"/>
      <c r="C182" s="131"/>
      <c r="D182" s="4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40"/>
      <c r="C183" s="131"/>
      <c r="D183" s="4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40"/>
      <c r="C184" s="131"/>
      <c r="D184" s="4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40"/>
      <c r="C185" s="131"/>
      <c r="D185" s="4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40"/>
      <c r="C186" s="131"/>
      <c r="D186" s="4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40"/>
      <c r="C187" s="131"/>
      <c r="D187" s="4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40"/>
      <c r="C188" s="131"/>
      <c r="D188" s="4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40"/>
      <c r="C189" s="131"/>
      <c r="D189" s="4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40"/>
      <c r="C190" s="131"/>
      <c r="D190" s="4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40"/>
      <c r="C191" s="131"/>
      <c r="D191" s="4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40"/>
      <c r="C192" s="131"/>
      <c r="D192" s="4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40"/>
      <c r="C193" s="131"/>
      <c r="D193" s="4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40"/>
      <c r="C194" s="131"/>
      <c r="D194" s="4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40"/>
      <c r="C195" s="131"/>
      <c r="D195" s="4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40"/>
      <c r="C196" s="131"/>
      <c r="D196" s="4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40"/>
      <c r="C197" s="131"/>
      <c r="D197" s="4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40"/>
      <c r="C198" s="131"/>
      <c r="D198" s="4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40"/>
      <c r="C199" s="131"/>
      <c r="D199" s="4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40"/>
      <c r="C200" s="131"/>
      <c r="D200" s="4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40"/>
      <c r="C201" s="131"/>
      <c r="D201" s="4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40"/>
      <c r="C202" s="131"/>
      <c r="D202" s="4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40"/>
      <c r="C203" s="131"/>
      <c r="D203" s="4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40"/>
      <c r="C204" s="131"/>
      <c r="D204" s="4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40"/>
      <c r="C205" s="131"/>
      <c r="D205" s="4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40"/>
      <c r="C206" s="131"/>
      <c r="D206" s="4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40"/>
      <c r="C207" s="131"/>
      <c r="D207" s="4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40"/>
      <c r="C208" s="131"/>
      <c r="D208" s="4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40"/>
      <c r="C209" s="131"/>
      <c r="D209" s="4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40"/>
      <c r="C210" s="131"/>
      <c r="D210" s="4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40"/>
      <c r="C211" s="131"/>
      <c r="D211" s="4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40"/>
      <c r="C212" s="131"/>
      <c r="D212" s="4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40"/>
      <c r="C213" s="131"/>
      <c r="D213" s="4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40"/>
      <c r="C214" s="131"/>
      <c r="D214" s="4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40"/>
      <c r="C215" s="131"/>
      <c r="D215" s="4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40"/>
      <c r="C216" s="131"/>
      <c r="D216" s="4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40"/>
      <c r="C217" s="131"/>
      <c r="D217" s="4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40"/>
      <c r="C218" s="131"/>
      <c r="D218" s="4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40"/>
      <c r="C219" s="131"/>
      <c r="D219" s="4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40"/>
      <c r="C220" s="131"/>
      <c r="D220" s="4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40"/>
      <c r="C221" s="131"/>
      <c r="D221" s="4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40"/>
      <c r="C222" s="131"/>
      <c r="D222" s="4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40"/>
      <c r="C223" s="131"/>
      <c r="D223" s="4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40"/>
      <c r="C224" s="131"/>
      <c r="D224" s="4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40"/>
      <c r="C225" s="131"/>
      <c r="D225" s="4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40"/>
      <c r="C226" s="131"/>
      <c r="D226" s="4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40"/>
      <c r="C227" s="136"/>
      <c r="D227" s="4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40"/>
      <c r="C228" s="136"/>
      <c r="D228" s="4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40"/>
      <c r="C229" s="136"/>
      <c r="D229" s="4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40"/>
      <c r="C230" s="136"/>
      <c r="D230" s="4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40"/>
      <c r="C231" s="136"/>
      <c r="D231" s="4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40"/>
      <c r="C232" s="136"/>
      <c r="D232" s="4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40"/>
      <c r="C233" s="136"/>
      <c r="D233" s="4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40"/>
      <c r="C234" s="136"/>
      <c r="D234" s="4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40"/>
      <c r="C235" s="136"/>
      <c r="D235" s="4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40"/>
      <c r="C236" s="136"/>
      <c r="D236" s="4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40"/>
      <c r="C237" s="136"/>
      <c r="D237" s="4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40"/>
      <c r="C238" s="136"/>
      <c r="D238" s="4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40"/>
      <c r="C239" s="136"/>
      <c r="D239" s="4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40"/>
      <c r="C240" s="136"/>
      <c r="D240" s="4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40"/>
      <c r="C241" s="136"/>
      <c r="D241" s="4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40"/>
      <c r="C242" s="136"/>
      <c r="D242" s="4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40"/>
      <c r="C243" s="136"/>
      <c r="D243" s="4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40"/>
      <c r="C244" s="136"/>
      <c r="D244" s="4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40"/>
      <c r="C245" s="136"/>
      <c r="D245" s="4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40"/>
      <c r="C246" s="136"/>
      <c r="D246" s="4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40"/>
      <c r="C247" s="136"/>
      <c r="D247" s="4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40"/>
      <c r="C248" s="136"/>
      <c r="D248" s="4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40"/>
      <c r="C249" s="136"/>
      <c r="D249" s="4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40"/>
      <c r="C250" s="136"/>
      <c r="D250" s="4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40"/>
      <c r="C251" s="136"/>
      <c r="D251" s="4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40"/>
      <c r="C252" s="136"/>
      <c r="D252" s="4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40"/>
      <c r="C253" s="136"/>
      <c r="D253" s="4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40"/>
      <c r="C254" s="136"/>
      <c r="D254" s="4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40"/>
      <c r="C255" s="136"/>
      <c r="D255" s="4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40"/>
      <c r="C256" s="136"/>
      <c r="D256" s="4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40"/>
      <c r="C257" s="136"/>
      <c r="D257" s="4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40"/>
      <c r="C258" s="136"/>
      <c r="D258" s="4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40"/>
      <c r="C259" s="136"/>
      <c r="D259" s="4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40"/>
      <c r="C260" s="136"/>
      <c r="D260" s="4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40"/>
      <c r="C261" s="136"/>
      <c r="D261" s="4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40"/>
      <c r="C262" s="136"/>
      <c r="D262" s="4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40"/>
      <c r="C263" s="136"/>
      <c r="D263" s="4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40"/>
      <c r="C264" s="136"/>
      <c r="D264" s="4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40"/>
      <c r="C265" s="136"/>
      <c r="D265" s="4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40"/>
      <c r="C266" s="136"/>
      <c r="D266" s="4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40"/>
      <c r="C267" s="136"/>
      <c r="D267" s="4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40"/>
      <c r="C268" s="136"/>
      <c r="D268" s="4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40"/>
      <c r="C269" s="136"/>
      <c r="D269" s="4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40"/>
      <c r="C270" s="136"/>
      <c r="D270" s="4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40"/>
      <c r="C271" s="136"/>
      <c r="D271" s="4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40"/>
      <c r="C272" s="136"/>
      <c r="D272" s="4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40"/>
      <c r="C273" s="136"/>
      <c r="D273" s="4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40"/>
      <c r="C274" s="136"/>
      <c r="D274" s="4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40"/>
      <c r="C275" s="136"/>
      <c r="D275" s="4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40"/>
      <c r="C276" s="136"/>
      <c r="D276" s="4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40"/>
      <c r="C277" s="136"/>
      <c r="D277" s="4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40"/>
      <c r="C278" s="136"/>
      <c r="D278" s="4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40"/>
      <c r="C279" s="136"/>
      <c r="D279" s="4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40"/>
      <c r="C280" s="136"/>
      <c r="D280" s="4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40"/>
      <c r="C281" s="136"/>
      <c r="D281" s="4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40"/>
      <c r="C282" s="136"/>
      <c r="D282" s="4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40"/>
      <c r="C283" s="136"/>
      <c r="D283" s="4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40"/>
      <c r="C284" s="136"/>
      <c r="D284" s="4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40"/>
      <c r="C285" s="136"/>
      <c r="D285" s="4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40"/>
      <c r="C286" s="136"/>
      <c r="D286" s="4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40"/>
      <c r="C287" s="136"/>
      <c r="D287" s="4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40"/>
      <c r="C288" s="136"/>
      <c r="D288" s="4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40"/>
      <c r="C289" s="136"/>
      <c r="D289" s="4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40"/>
      <c r="C290" s="136"/>
      <c r="D290" s="4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40"/>
      <c r="C291" s="136"/>
      <c r="D291" s="4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40"/>
      <c r="C292" s="136"/>
      <c r="D292" s="4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40"/>
      <c r="C293" s="136"/>
      <c r="D293" s="4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40"/>
      <c r="C294" s="136"/>
      <c r="D294" s="4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40"/>
      <c r="C295" s="136"/>
      <c r="D295" s="4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40"/>
      <c r="C296" s="136"/>
      <c r="D296" s="4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40"/>
      <c r="C297" s="136"/>
      <c r="D297" s="4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40"/>
      <c r="C298" s="136"/>
      <c r="D298" s="4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40"/>
      <c r="C299" s="136"/>
      <c r="D299" s="4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40"/>
      <c r="C300" s="136"/>
      <c r="D300" s="4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40"/>
      <c r="C301" s="136"/>
      <c r="D301" s="4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40"/>
      <c r="C302" s="136"/>
      <c r="D302" s="4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40"/>
      <c r="C303" s="136"/>
      <c r="D303" s="4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40"/>
      <c r="C304" s="136"/>
      <c r="D304" s="4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40"/>
      <c r="C305" s="136"/>
      <c r="D305" s="4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40"/>
      <c r="C306" s="136"/>
      <c r="D306" s="4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40"/>
      <c r="C307" s="136"/>
      <c r="D307" s="4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40"/>
      <c r="C308" s="136"/>
      <c r="D308" s="4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40"/>
      <c r="C309" s="136"/>
      <c r="D309" s="4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40"/>
      <c r="C310" s="136"/>
      <c r="D310" s="4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40"/>
      <c r="C311" s="136"/>
      <c r="D311" s="4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40"/>
      <c r="C312" s="136"/>
      <c r="D312" s="4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40"/>
      <c r="C313" s="136"/>
      <c r="D313" s="4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40"/>
      <c r="C314" s="136"/>
      <c r="D314" s="4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40"/>
      <c r="C315" s="136"/>
      <c r="D315" s="4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40"/>
      <c r="C316" s="136"/>
      <c r="D316" s="4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40"/>
      <c r="C317" s="136"/>
      <c r="D317" s="4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40"/>
      <c r="C318" s="136"/>
      <c r="D318" s="4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40"/>
      <c r="C319" s="136"/>
      <c r="D319" s="4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40"/>
      <c r="C320" s="136"/>
      <c r="D320" s="4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40"/>
      <c r="C321" s="136"/>
      <c r="D321" s="4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40"/>
      <c r="C322" s="136"/>
      <c r="D322" s="4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40"/>
      <c r="C323" s="136"/>
      <c r="D323" s="4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40"/>
      <c r="C324" s="136"/>
      <c r="D324" s="4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40"/>
      <c r="C325" s="136"/>
      <c r="D325" s="4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40"/>
      <c r="C326" s="136"/>
      <c r="D326" s="4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40"/>
      <c r="C327" s="136"/>
      <c r="D327" s="4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40"/>
      <c r="C328" s="136"/>
      <c r="D328" s="4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40"/>
      <c r="C329" s="136"/>
      <c r="D329" s="4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40"/>
      <c r="C330" s="136"/>
      <c r="D330" s="4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40"/>
      <c r="C331" s="136"/>
      <c r="D331" s="4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40"/>
      <c r="C332" s="136"/>
      <c r="D332" s="4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40"/>
      <c r="C333" s="136"/>
      <c r="D333" s="4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40"/>
      <c r="C334" s="136"/>
      <c r="D334" s="4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40"/>
      <c r="C335" s="136"/>
      <c r="D335" s="4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40"/>
      <c r="C336" s="136"/>
      <c r="D336" s="4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40"/>
      <c r="C337" s="136"/>
      <c r="D337" s="4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40"/>
      <c r="C338" s="136"/>
      <c r="D338" s="4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40"/>
      <c r="C339" s="136"/>
      <c r="D339" s="4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40"/>
      <c r="C340" s="136"/>
      <c r="D340" s="4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40"/>
      <c r="C341" s="136"/>
      <c r="D341" s="4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40"/>
      <c r="C342" s="136"/>
      <c r="D342" s="4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40"/>
      <c r="C343" s="136"/>
      <c r="D343" s="4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40"/>
      <c r="C344" s="136"/>
      <c r="D344" s="4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40"/>
      <c r="C345" s="136"/>
      <c r="D345" s="4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40"/>
      <c r="C346" s="136"/>
      <c r="D346" s="4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40"/>
      <c r="C347" s="136"/>
      <c r="D347" s="4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40"/>
      <c r="C348" s="136"/>
      <c r="D348" s="4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40"/>
      <c r="C349" s="136"/>
      <c r="D349" s="4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40"/>
      <c r="C350" s="136"/>
      <c r="D350" s="4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40"/>
      <c r="C351" s="136"/>
      <c r="D351" s="4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40"/>
      <c r="C352" s="136"/>
      <c r="D352" s="4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40"/>
      <c r="C353" s="136"/>
      <c r="D353" s="4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40"/>
      <c r="C354" s="136"/>
      <c r="D354" s="4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40"/>
      <c r="C355" s="136"/>
      <c r="D355" s="4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40"/>
      <c r="C356" s="136"/>
      <c r="D356" s="4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40"/>
      <c r="C357" s="136"/>
      <c r="D357" s="4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40"/>
      <c r="C358" s="136"/>
      <c r="D358" s="4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40"/>
      <c r="C359" s="136"/>
      <c r="D359" s="4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40"/>
      <c r="C360" s="136"/>
      <c r="D360" s="4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40"/>
      <c r="C361" s="136"/>
      <c r="D361" s="4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40"/>
      <c r="C362" s="136"/>
      <c r="D362" s="4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40"/>
      <c r="C363" s="136"/>
      <c r="D363" s="4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40"/>
      <c r="C364" s="136"/>
      <c r="D364" s="4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40"/>
      <c r="C365" s="136"/>
      <c r="D365" s="4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40"/>
      <c r="C366" s="136"/>
      <c r="D366" s="4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40"/>
      <c r="C367" s="136"/>
      <c r="D367" s="4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40"/>
      <c r="C368" s="136"/>
      <c r="D368" s="4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40"/>
      <c r="C369" s="136"/>
      <c r="D369" s="4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40"/>
      <c r="C370" s="136"/>
      <c r="D370" s="4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40"/>
      <c r="C371" s="136"/>
      <c r="D371" s="4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40"/>
      <c r="C372" s="136"/>
      <c r="D372" s="4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40"/>
      <c r="C373" s="136"/>
      <c r="D373" s="4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40"/>
      <c r="C374" s="136"/>
      <c r="D374" s="4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40"/>
      <c r="C375" s="136"/>
      <c r="D375" s="4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40"/>
      <c r="C376" s="136"/>
      <c r="D376" s="4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40"/>
      <c r="C377" s="136"/>
      <c r="D377" s="4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40"/>
      <c r="C378" s="136"/>
      <c r="D378" s="4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40"/>
      <c r="C379" s="136"/>
      <c r="D379" s="4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40"/>
      <c r="C380" s="136"/>
      <c r="D380" s="4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40"/>
      <c r="C381" s="136"/>
      <c r="D381" s="4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40"/>
      <c r="C382" s="136"/>
      <c r="D382" s="4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40"/>
      <c r="C383" s="136"/>
      <c r="D383" s="4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40"/>
      <c r="C384" s="136"/>
      <c r="D384" s="4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40"/>
      <c r="C385" s="136"/>
      <c r="D385" s="4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40"/>
      <c r="C386" s="136"/>
      <c r="D386" s="4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40"/>
      <c r="C387" s="136"/>
      <c r="D387" s="4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40"/>
      <c r="C388" s="136"/>
      <c r="D388" s="4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40"/>
      <c r="C389" s="136"/>
      <c r="D389" s="4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40"/>
      <c r="C390" s="136"/>
      <c r="D390" s="4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40"/>
      <c r="C391" s="136"/>
      <c r="D391" s="4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40"/>
      <c r="C392" s="136"/>
      <c r="D392" s="4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40"/>
      <c r="C393" s="136"/>
      <c r="D393" s="4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40"/>
      <c r="C394" s="136"/>
      <c r="D394" s="4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40"/>
      <c r="C395" s="136"/>
      <c r="D395" s="4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40"/>
      <c r="C396" s="136"/>
      <c r="D396" s="4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40"/>
      <c r="C397" s="136"/>
      <c r="D397" s="4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40"/>
      <c r="C398" s="136"/>
      <c r="D398" s="4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40"/>
      <c r="C399" s="136"/>
      <c r="D399" s="4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40"/>
      <c r="C400" s="136"/>
      <c r="D400" s="4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40"/>
      <c r="C401" s="136"/>
      <c r="D401" s="4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40"/>
      <c r="C402" s="136"/>
      <c r="D402" s="4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40"/>
      <c r="C403" s="136"/>
      <c r="D403" s="4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40"/>
      <c r="C404" s="136"/>
      <c r="D404" s="4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40"/>
      <c r="C405" s="136"/>
      <c r="D405" s="4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40"/>
      <c r="C406" s="136"/>
      <c r="D406" s="4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40"/>
      <c r="C407" s="136"/>
      <c r="D407" s="4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40"/>
      <c r="C408" s="136"/>
      <c r="D408" s="4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40"/>
      <c r="C409" s="136"/>
      <c r="D409" s="4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40"/>
      <c r="C410" s="136"/>
      <c r="D410" s="4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40"/>
      <c r="C411" s="136"/>
      <c r="D411" s="4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40"/>
      <c r="C412" s="136"/>
      <c r="D412" s="4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40"/>
      <c r="C413" s="136"/>
      <c r="D413" s="4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40"/>
      <c r="C414" s="136"/>
      <c r="D414" s="4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40"/>
      <c r="C415" s="136"/>
      <c r="D415" s="4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40"/>
      <c r="C416" s="136"/>
      <c r="D416" s="4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40"/>
      <c r="C417" s="136"/>
      <c r="D417" s="4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40"/>
      <c r="C418" s="136"/>
      <c r="D418" s="4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40"/>
      <c r="C419" s="136"/>
      <c r="D419" s="4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40"/>
      <c r="C420" s="136"/>
      <c r="D420" s="4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40"/>
      <c r="C421" s="136"/>
      <c r="D421" s="4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40"/>
      <c r="C422" s="136"/>
      <c r="D422" s="4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40"/>
      <c r="C423" s="136"/>
      <c r="D423" s="4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40"/>
      <c r="C424" s="136"/>
      <c r="D424" s="4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40"/>
      <c r="C425" s="136"/>
      <c r="D425" s="4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40"/>
      <c r="C426" s="136"/>
      <c r="D426" s="4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40"/>
      <c r="C427" s="136"/>
      <c r="D427" s="4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40"/>
      <c r="C428" s="136"/>
      <c r="D428" s="4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40"/>
      <c r="C429" s="136"/>
      <c r="D429" s="4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40"/>
      <c r="C430" s="136"/>
      <c r="D430" s="4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40"/>
      <c r="C431" s="136"/>
      <c r="D431" s="4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40"/>
      <c r="C432" s="136"/>
      <c r="D432" s="4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40"/>
      <c r="C433" s="136"/>
      <c r="D433" s="4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40"/>
      <c r="C434" s="136"/>
      <c r="D434" s="4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40"/>
      <c r="C435" s="136"/>
      <c r="D435" s="4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40"/>
      <c r="C436" s="136"/>
      <c r="D436" s="4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40"/>
      <c r="C437" s="136"/>
      <c r="D437" s="4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40"/>
      <c r="C438" s="136"/>
      <c r="D438" s="4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40"/>
      <c r="C439" s="136"/>
      <c r="D439" s="4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40"/>
      <c r="C440" s="136"/>
      <c r="D440" s="4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40"/>
      <c r="C441" s="136"/>
      <c r="D441" s="4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40"/>
      <c r="C442" s="136"/>
      <c r="D442" s="4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40"/>
      <c r="C443" s="136"/>
      <c r="D443" s="4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40"/>
      <c r="C444" s="136"/>
      <c r="D444" s="4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40"/>
      <c r="C445" s="136"/>
      <c r="D445" s="4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40"/>
      <c r="C446" s="136"/>
      <c r="D446" s="4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40"/>
      <c r="C447" s="136"/>
      <c r="D447" s="4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40"/>
      <c r="C448" s="136"/>
      <c r="D448" s="4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40"/>
      <c r="C449" s="136"/>
      <c r="D449" s="4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40"/>
      <c r="C450" s="136"/>
      <c r="D450" s="4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40"/>
      <c r="C451" s="136"/>
      <c r="D451" s="4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40"/>
      <c r="C452" s="136"/>
      <c r="D452" s="4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40"/>
      <c r="C453" s="136"/>
      <c r="D453" s="4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40"/>
      <c r="C454" s="136"/>
      <c r="D454" s="4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40"/>
      <c r="C455" s="136"/>
      <c r="D455" s="4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40"/>
      <c r="C456" s="136"/>
      <c r="D456" s="4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40"/>
      <c r="C457" s="136"/>
      <c r="D457" s="4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40"/>
      <c r="C458" s="136"/>
      <c r="D458" s="4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40"/>
      <c r="C459" s="136"/>
      <c r="D459" s="4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40"/>
      <c r="C460" s="136"/>
      <c r="D460" s="4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40"/>
      <c r="C461" s="136"/>
      <c r="D461" s="4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40"/>
      <c r="C462" s="136"/>
      <c r="D462" s="4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40"/>
      <c r="C463" s="136"/>
      <c r="D463" s="4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40"/>
      <c r="C464" s="136"/>
      <c r="D464" s="4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40"/>
      <c r="C465" s="136"/>
      <c r="D465" s="4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40"/>
      <c r="C466" s="136"/>
      <c r="D466" s="4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40"/>
      <c r="C467" s="136"/>
      <c r="D467" s="4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40"/>
      <c r="C468" s="136"/>
      <c r="D468" s="4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40"/>
      <c r="C469" s="136"/>
      <c r="D469" s="4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40"/>
      <c r="C470" s="136"/>
      <c r="D470" s="4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40"/>
      <c r="C471" s="136"/>
      <c r="D471" s="4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40"/>
      <c r="C472" s="136"/>
      <c r="D472" s="4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40"/>
      <c r="C473" s="136"/>
      <c r="D473" s="4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40"/>
      <c r="C474" s="136"/>
      <c r="D474" s="4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40"/>
      <c r="C475" s="136"/>
      <c r="D475" s="4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40"/>
      <c r="C476" s="136"/>
      <c r="D476" s="4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40"/>
      <c r="C477" s="136"/>
      <c r="D477" s="4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40"/>
      <c r="C478" s="136"/>
      <c r="D478" s="4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40"/>
      <c r="C479" s="136"/>
      <c r="D479" s="4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40"/>
      <c r="C480" s="136"/>
      <c r="D480" s="4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40"/>
      <c r="C481" s="136"/>
      <c r="D481" s="4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40"/>
      <c r="C482" s="136"/>
      <c r="D482" s="4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40"/>
      <c r="C483" s="136"/>
      <c r="D483" s="4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40"/>
      <c r="C484" s="136"/>
      <c r="D484" s="4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40"/>
      <c r="C485" s="136"/>
      <c r="D485" s="4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40"/>
      <c r="C486" s="136"/>
      <c r="D486" s="4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40"/>
      <c r="C487" s="136"/>
      <c r="D487" s="4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40"/>
      <c r="C488" s="136"/>
      <c r="D488" s="4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40"/>
      <c r="C489" s="136"/>
      <c r="D489" s="4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40"/>
      <c r="C490" s="136"/>
      <c r="D490" s="4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40"/>
      <c r="C491" s="136"/>
      <c r="D491" s="4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40"/>
      <c r="C492" s="136"/>
      <c r="D492" s="4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40"/>
      <c r="C493" s="136"/>
      <c r="D493" s="4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40"/>
      <c r="C494" s="136"/>
      <c r="D494" s="4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40"/>
      <c r="C495" s="136"/>
      <c r="D495" s="4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40"/>
      <c r="C496" s="136"/>
      <c r="D496" s="4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40"/>
      <c r="C497" s="136"/>
      <c r="D497" s="4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40"/>
      <c r="C498" s="136"/>
      <c r="D498" s="4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40"/>
      <c r="C499" s="136"/>
      <c r="D499" s="4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40"/>
      <c r="C500" s="136"/>
      <c r="D500" s="4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40"/>
      <c r="C501" s="136"/>
      <c r="D501" s="4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40"/>
      <c r="C502" s="136"/>
      <c r="D502" s="4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40"/>
      <c r="C503" s="136"/>
      <c r="D503" s="4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40"/>
      <c r="C504" s="136"/>
      <c r="D504" s="4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40"/>
      <c r="C505" s="136"/>
      <c r="D505" s="4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40"/>
      <c r="C506" s="136"/>
      <c r="D506" s="4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40"/>
      <c r="C507" s="136"/>
      <c r="D507" s="4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40"/>
      <c r="C508" s="136"/>
      <c r="D508" s="4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40"/>
      <c r="C509" s="136"/>
      <c r="D509" s="4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40"/>
      <c r="C510" s="136"/>
      <c r="D510" s="4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40"/>
      <c r="C511" s="136"/>
      <c r="D511" s="4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40"/>
      <c r="C512" s="136"/>
      <c r="D512" s="4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40"/>
      <c r="C513" s="136"/>
      <c r="D513" s="4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40"/>
      <c r="C514" s="136"/>
      <c r="D514" s="4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40"/>
      <c r="C515" s="136"/>
      <c r="D515" s="4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40"/>
      <c r="C516" s="136"/>
      <c r="D516" s="4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40"/>
      <c r="C517" s="136"/>
      <c r="D517" s="4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40"/>
      <c r="C518" s="136"/>
      <c r="D518" s="4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40"/>
      <c r="C519" s="136"/>
      <c r="D519" s="4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40"/>
      <c r="C520" s="136"/>
      <c r="D520" s="4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40"/>
      <c r="C521" s="136"/>
      <c r="D521" s="4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40"/>
      <c r="C522" s="136"/>
      <c r="D522" s="4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40"/>
      <c r="C523" s="136"/>
      <c r="D523" s="4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40"/>
      <c r="C524" s="136"/>
      <c r="D524" s="4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40"/>
      <c r="C525" s="136"/>
      <c r="D525" s="4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40"/>
      <c r="C526" s="136"/>
      <c r="D526" s="4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40"/>
      <c r="C527" s="136"/>
      <c r="D527" s="4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40"/>
      <c r="C528" s="136"/>
      <c r="D528" s="4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40"/>
      <c r="C529" s="136"/>
      <c r="D529" s="4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40"/>
      <c r="C530" s="136"/>
      <c r="D530" s="4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40"/>
      <c r="C531" s="136"/>
      <c r="D531" s="4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40"/>
      <c r="C532" s="136"/>
      <c r="D532" s="4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40"/>
      <c r="C533" s="136"/>
      <c r="D533" s="4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40"/>
      <c r="C534" s="136"/>
      <c r="D534" s="4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40"/>
      <c r="C535" s="136"/>
      <c r="D535" s="4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40"/>
      <c r="C536" s="136"/>
      <c r="D536" s="4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40"/>
      <c r="C537" s="136"/>
      <c r="D537" s="4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40"/>
      <c r="C538" s="136"/>
      <c r="D538" s="4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40"/>
      <c r="C539" s="136"/>
      <c r="D539" s="4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40"/>
      <c r="C540" s="136"/>
      <c r="D540" s="4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40"/>
      <c r="C541" s="136"/>
      <c r="D541" s="4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40"/>
      <c r="C542" s="136"/>
      <c r="D542" s="4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40"/>
      <c r="C543" s="136"/>
      <c r="D543" s="4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40"/>
      <c r="C544" s="136"/>
      <c r="D544" s="4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40"/>
      <c r="C545" s="136"/>
      <c r="D545" s="4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40"/>
      <c r="C546" s="136"/>
      <c r="D546" s="4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40"/>
      <c r="C547" s="136"/>
      <c r="D547" s="4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40"/>
      <c r="C548" s="136"/>
      <c r="D548" s="4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40"/>
      <c r="C549" s="136"/>
      <c r="D549" s="4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40"/>
      <c r="C550" s="136"/>
      <c r="D550" s="4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40"/>
      <c r="C551" s="136"/>
      <c r="D551" s="4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40"/>
      <c r="C552" s="136"/>
      <c r="D552" s="4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40"/>
      <c r="C553" s="136"/>
      <c r="D553" s="4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40"/>
      <c r="C554" s="136"/>
      <c r="D554" s="4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40"/>
      <c r="C555" s="136"/>
      <c r="D555" s="4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40"/>
      <c r="C556" s="136"/>
      <c r="D556" s="4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40"/>
      <c r="C557" s="136"/>
      <c r="D557" s="4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40"/>
      <c r="C558" s="136"/>
      <c r="D558" s="4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40"/>
      <c r="C559" s="136"/>
      <c r="D559" s="4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40"/>
      <c r="C560" s="136"/>
      <c r="D560" s="4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40"/>
      <c r="C561" s="136"/>
      <c r="D561" s="4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40"/>
      <c r="C562" s="136"/>
      <c r="D562" s="4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40"/>
      <c r="C563" s="136"/>
      <c r="D563" s="4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40"/>
      <c r="C564" s="136"/>
      <c r="D564" s="4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40"/>
      <c r="C565" s="136"/>
      <c r="D565" s="4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40"/>
      <c r="C566" s="136"/>
      <c r="D566" s="4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40"/>
      <c r="C567" s="136"/>
      <c r="D567" s="4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40"/>
      <c r="C568" s="136"/>
      <c r="D568" s="4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40"/>
      <c r="C569" s="136"/>
      <c r="D569" s="4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40"/>
      <c r="C570" s="136"/>
      <c r="D570" s="4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40"/>
      <c r="C571" s="136"/>
      <c r="D571" s="4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40"/>
      <c r="C572" s="136"/>
      <c r="D572" s="4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40"/>
      <c r="C573" s="136"/>
      <c r="D573" s="4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40"/>
      <c r="C574" s="136"/>
      <c r="D574" s="4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40"/>
      <c r="C575" s="136"/>
      <c r="D575" s="4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40"/>
      <c r="C576" s="136"/>
      <c r="D576" s="4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40"/>
      <c r="C577" s="136"/>
      <c r="D577" s="4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40"/>
      <c r="C578" s="136"/>
      <c r="D578" s="4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40"/>
      <c r="C579" s="136"/>
      <c r="D579" s="4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40"/>
      <c r="C580" s="136"/>
      <c r="D580" s="4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40"/>
      <c r="C581" s="136"/>
      <c r="D581" s="4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40"/>
      <c r="C582" s="136"/>
      <c r="D582" s="4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40"/>
      <c r="C583" s="136"/>
      <c r="D583" s="4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40"/>
      <c r="C584" s="136"/>
      <c r="D584" s="4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40"/>
      <c r="C585" s="136"/>
      <c r="D585" s="4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40"/>
      <c r="C586" s="136"/>
      <c r="D586" s="4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40"/>
      <c r="C587" s="136"/>
      <c r="D587" s="4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40"/>
      <c r="C588" s="136"/>
      <c r="D588" s="4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40"/>
      <c r="C589" s="136"/>
      <c r="D589" s="4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40"/>
      <c r="C590" s="136"/>
      <c r="D590" s="4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40"/>
      <c r="C591" s="136"/>
      <c r="D591" s="4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40"/>
      <c r="C592" s="136"/>
      <c r="D592" s="4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40"/>
      <c r="C593" s="136"/>
      <c r="D593" s="4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40"/>
      <c r="C594" s="136"/>
      <c r="D594" s="4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40"/>
      <c r="C595" s="136"/>
      <c r="D595" s="4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40"/>
      <c r="C596" s="136"/>
      <c r="D596" s="4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40"/>
      <c r="C597" s="136"/>
      <c r="D597" s="4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40"/>
      <c r="C598" s="136"/>
      <c r="D598" s="4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40"/>
      <c r="C599" s="136"/>
      <c r="D599" s="4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40"/>
      <c r="C600" s="136"/>
      <c r="D600" s="4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40"/>
      <c r="C601" s="136"/>
      <c r="D601" s="4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40"/>
      <c r="C602" s="136"/>
      <c r="D602" s="4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40"/>
      <c r="C603" s="136"/>
      <c r="D603" s="4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40"/>
      <c r="C604" s="136"/>
      <c r="D604" s="4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40"/>
      <c r="C605" s="136"/>
      <c r="D605" s="4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40"/>
      <c r="C606" s="136"/>
      <c r="D606" s="4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40"/>
      <c r="C607" s="136"/>
      <c r="D607" s="4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40"/>
      <c r="C608" s="136"/>
      <c r="D608" s="4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40"/>
      <c r="C609" s="136"/>
      <c r="D609" s="4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40"/>
      <c r="C610" s="136"/>
      <c r="D610" s="4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40"/>
      <c r="C611" s="136"/>
      <c r="D611" s="4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40"/>
      <c r="C612" s="136"/>
      <c r="D612" s="4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40"/>
      <c r="C613" s="136"/>
      <c r="D613" s="4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40"/>
      <c r="C614" s="136"/>
      <c r="D614" s="4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40"/>
      <c r="C615" s="136"/>
      <c r="D615" s="4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40"/>
      <c r="C616" s="136"/>
      <c r="D616" s="4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40"/>
      <c r="C617" s="136"/>
      <c r="D617" s="4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40"/>
      <c r="C618" s="136"/>
      <c r="D618" s="4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40"/>
      <c r="C619" s="136"/>
      <c r="D619" s="4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40"/>
      <c r="C620" s="136"/>
      <c r="D620" s="4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40"/>
      <c r="C621" s="136"/>
      <c r="D621" s="4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40"/>
      <c r="C622" s="136"/>
      <c r="D622" s="4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40"/>
      <c r="C623" s="136"/>
      <c r="D623" s="4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40"/>
      <c r="C624" s="136"/>
      <c r="D624" s="4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40"/>
      <c r="C625" s="136"/>
      <c r="D625" s="4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40"/>
      <c r="C626" s="136"/>
      <c r="D626" s="4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40"/>
      <c r="C627" s="136"/>
      <c r="D627" s="4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40"/>
      <c r="C628" s="136"/>
      <c r="D628" s="4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40"/>
      <c r="C629" s="136"/>
      <c r="D629" s="4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40"/>
      <c r="C630" s="136"/>
      <c r="D630" s="4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40"/>
      <c r="C631" s="136"/>
      <c r="D631" s="4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40"/>
      <c r="C632" s="136"/>
      <c r="D632" s="4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40"/>
      <c r="C633" s="136"/>
      <c r="D633" s="4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40"/>
      <c r="C634" s="136"/>
      <c r="D634" s="4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40"/>
      <c r="C635" s="136"/>
      <c r="D635" s="4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40"/>
      <c r="C636" s="136"/>
      <c r="D636" s="4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40"/>
      <c r="C637" s="136"/>
      <c r="D637" s="4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40"/>
      <c r="C638" s="136"/>
      <c r="D638" s="4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40"/>
      <c r="C639" s="136"/>
      <c r="D639" s="4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40"/>
      <c r="C640" s="136"/>
      <c r="D640" s="4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40"/>
      <c r="C641" s="136"/>
      <c r="D641" s="4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40"/>
      <c r="C642" s="136"/>
      <c r="D642" s="4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40"/>
      <c r="C643" s="136"/>
      <c r="D643" s="4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40"/>
      <c r="C644" s="136"/>
      <c r="D644" s="4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40"/>
      <c r="C645" s="136"/>
      <c r="D645" s="4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40"/>
      <c r="C646" s="136"/>
      <c r="D646" s="4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40"/>
      <c r="C647" s="136"/>
      <c r="D647" s="4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40"/>
      <c r="C648" s="136"/>
      <c r="D648" s="4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40"/>
      <c r="C649" s="136"/>
      <c r="D649" s="4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40"/>
      <c r="C650" s="136"/>
      <c r="D650" s="4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40"/>
      <c r="C651" s="136"/>
      <c r="D651" s="4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40"/>
      <c r="C652" s="136"/>
      <c r="D652" s="4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40"/>
      <c r="C653" s="136"/>
      <c r="D653" s="4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40"/>
      <c r="C654" s="136"/>
      <c r="D654" s="4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40"/>
      <c r="C655" s="136"/>
      <c r="D655" s="4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40"/>
      <c r="C656" s="136"/>
      <c r="D656" s="4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40"/>
      <c r="C657" s="136"/>
      <c r="D657" s="4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40"/>
      <c r="C658" s="136"/>
      <c r="D658" s="4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40"/>
      <c r="C659" s="136"/>
      <c r="D659" s="4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40"/>
      <c r="C660" s="136"/>
      <c r="D660" s="4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40"/>
      <c r="C661" s="136"/>
      <c r="D661" s="4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40"/>
      <c r="C662" s="136"/>
      <c r="D662" s="4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40"/>
      <c r="C663" s="136"/>
      <c r="D663" s="4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40"/>
      <c r="C664" s="136"/>
      <c r="D664" s="4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40"/>
      <c r="C665" s="136"/>
      <c r="D665" s="4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40"/>
      <c r="C666" s="136"/>
      <c r="D666" s="4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40"/>
      <c r="C667" s="136"/>
      <c r="D667" s="4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40"/>
      <c r="C668" s="136"/>
      <c r="D668" s="4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40"/>
      <c r="C669" s="136"/>
      <c r="D669" s="4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40"/>
      <c r="C670" s="136"/>
      <c r="D670" s="4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40"/>
      <c r="C671" s="136"/>
      <c r="D671" s="4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40"/>
      <c r="C672" s="136"/>
      <c r="D672" s="4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40"/>
      <c r="C673" s="136"/>
      <c r="D673" s="4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40"/>
      <c r="C674" s="136"/>
      <c r="D674" s="4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40"/>
      <c r="C675" s="136"/>
      <c r="D675" s="4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40"/>
      <c r="C676" s="136"/>
      <c r="D676" s="4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40"/>
      <c r="C677" s="136"/>
      <c r="D677" s="4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40"/>
      <c r="C678" s="136"/>
      <c r="D678" s="4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40"/>
      <c r="C679" s="136"/>
      <c r="D679" s="4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40"/>
      <c r="C680" s="136"/>
      <c r="D680" s="4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40"/>
      <c r="C681" s="136"/>
      <c r="D681" s="4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40"/>
      <c r="C682" s="136"/>
      <c r="D682" s="4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40"/>
      <c r="C683" s="136"/>
      <c r="D683" s="4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40"/>
      <c r="C684" s="136"/>
      <c r="D684" s="4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40"/>
      <c r="C685" s="136"/>
      <c r="D685" s="4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40"/>
      <c r="C686" s="136"/>
      <c r="D686" s="4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40"/>
      <c r="C687" s="136"/>
      <c r="D687" s="4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40"/>
      <c r="C688" s="136"/>
      <c r="D688" s="4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40"/>
      <c r="C689" s="136"/>
      <c r="D689" s="4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40"/>
      <c r="C690" s="136"/>
      <c r="D690" s="4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40"/>
      <c r="C691" s="136"/>
      <c r="D691" s="4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40"/>
      <c r="C692" s="136"/>
      <c r="D692" s="4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40"/>
      <c r="C693" s="136"/>
      <c r="D693" s="4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40"/>
      <c r="C694" s="136"/>
      <c r="D694" s="4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40"/>
      <c r="C695" s="136"/>
      <c r="D695" s="4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40"/>
      <c r="C696" s="136"/>
      <c r="D696" s="4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40"/>
      <c r="C697" s="136"/>
      <c r="D697" s="4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40"/>
      <c r="C698" s="136"/>
      <c r="D698" s="4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40"/>
      <c r="C699" s="136"/>
      <c r="D699" s="4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40"/>
      <c r="C700" s="136"/>
      <c r="D700" s="4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40"/>
      <c r="C701" s="136"/>
      <c r="D701" s="4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40"/>
      <c r="C702" s="136"/>
      <c r="D702" s="4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40"/>
      <c r="C703" s="136"/>
      <c r="D703" s="4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40"/>
      <c r="C704" s="136"/>
      <c r="D704" s="4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40"/>
      <c r="C705" s="136"/>
      <c r="D705" s="4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40"/>
      <c r="C706" s="136"/>
      <c r="D706" s="4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40"/>
      <c r="C707" s="136"/>
      <c r="D707" s="4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40"/>
      <c r="C708" s="136"/>
      <c r="D708" s="4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40"/>
      <c r="C709" s="136"/>
      <c r="D709" s="4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40"/>
      <c r="C710" s="136"/>
      <c r="D710" s="4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40"/>
      <c r="C711" s="136"/>
      <c r="D711" s="4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40"/>
      <c r="C712" s="136"/>
      <c r="D712" s="4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40"/>
      <c r="C713" s="136"/>
      <c r="D713" s="4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40"/>
      <c r="C714" s="136"/>
      <c r="D714" s="4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40"/>
      <c r="C715" s="136"/>
      <c r="D715" s="4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40"/>
      <c r="C716" s="136"/>
      <c r="D716" s="4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40"/>
      <c r="C717" s="136"/>
      <c r="D717" s="4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40"/>
      <c r="C718" s="136"/>
      <c r="D718" s="4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40"/>
      <c r="C719" s="136"/>
      <c r="D719" s="4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40"/>
      <c r="C720" s="136"/>
      <c r="D720" s="4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40"/>
      <c r="C721" s="136"/>
      <c r="D721" s="4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40"/>
      <c r="C722" s="136"/>
      <c r="D722" s="4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40"/>
      <c r="C723" s="136"/>
      <c r="D723" s="4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40"/>
      <c r="C724" s="136"/>
      <c r="D724" s="4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40"/>
      <c r="C725" s="136"/>
      <c r="D725" s="4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40"/>
      <c r="C726" s="136"/>
      <c r="D726" s="4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40"/>
      <c r="C727" s="136"/>
      <c r="D727" s="4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40"/>
      <c r="C728" s="136"/>
      <c r="D728" s="4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40"/>
      <c r="C729" s="136"/>
      <c r="D729" s="4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40"/>
      <c r="C730" s="136"/>
      <c r="D730" s="4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40"/>
      <c r="C731" s="136"/>
      <c r="D731" s="4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40"/>
      <c r="C732" s="136"/>
      <c r="D732" s="4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40"/>
      <c r="C733" s="136"/>
      <c r="D733" s="4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40"/>
      <c r="C734" s="136"/>
      <c r="D734" s="4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40"/>
      <c r="C735" s="136"/>
      <c r="D735" s="4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40"/>
      <c r="C736" s="136"/>
      <c r="D736" s="4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40"/>
      <c r="C737" s="136"/>
      <c r="D737" s="4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40"/>
      <c r="C738" s="136"/>
      <c r="D738" s="4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40"/>
      <c r="C739" s="136"/>
      <c r="D739" s="4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40"/>
      <c r="C740" s="136"/>
      <c r="D740" s="4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40"/>
      <c r="C741" s="136"/>
      <c r="D741" s="4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40"/>
      <c r="C742" s="136"/>
      <c r="D742" s="4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40"/>
      <c r="C743" s="136"/>
      <c r="D743" s="4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40"/>
      <c r="C744" s="136"/>
      <c r="D744" s="4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40"/>
      <c r="C745" s="136"/>
      <c r="D745" s="4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40"/>
      <c r="C746" s="136"/>
      <c r="D746" s="4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40"/>
      <c r="C747" s="136"/>
      <c r="D747" s="4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40"/>
      <c r="C748" s="136"/>
      <c r="D748" s="4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40"/>
      <c r="C749" s="136"/>
      <c r="D749" s="4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40"/>
      <c r="C750" s="136"/>
      <c r="D750" s="4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40"/>
      <c r="C751" s="136"/>
      <c r="D751" s="4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40"/>
      <c r="C752" s="136"/>
      <c r="D752" s="4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40"/>
      <c r="C753" s="136"/>
      <c r="D753" s="4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40"/>
      <c r="C754" s="136"/>
      <c r="D754" s="4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40"/>
      <c r="C755" s="136"/>
      <c r="D755" s="4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40"/>
      <c r="C756" s="136"/>
      <c r="D756" s="4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40"/>
      <c r="C757" s="136"/>
      <c r="D757" s="4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40"/>
      <c r="C758" s="136"/>
      <c r="D758" s="4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40"/>
      <c r="C759" s="136"/>
      <c r="D759" s="4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40"/>
      <c r="C760" s="136"/>
      <c r="D760" s="4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40"/>
      <c r="C761" s="136"/>
      <c r="D761" s="4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40"/>
      <c r="C762" s="136"/>
      <c r="D762" s="4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40"/>
      <c r="C763" s="136"/>
      <c r="D763" s="4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40"/>
      <c r="C764" s="136"/>
      <c r="D764" s="4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40"/>
      <c r="C765" s="136"/>
      <c r="D765" s="4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40"/>
      <c r="C766" s="136"/>
      <c r="D766" s="4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40"/>
      <c r="C767" s="136"/>
      <c r="D767" s="4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40"/>
      <c r="C768" s="136"/>
      <c r="D768" s="4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40"/>
      <c r="C769" s="136"/>
      <c r="D769" s="4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40"/>
      <c r="C770" s="136"/>
      <c r="D770" s="4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40"/>
      <c r="C771" s="136"/>
      <c r="D771" s="4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40"/>
      <c r="C772" s="136"/>
      <c r="D772" s="4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40"/>
      <c r="C773" s="136"/>
      <c r="D773" s="4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40"/>
      <c r="C774" s="136"/>
      <c r="D774" s="4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40"/>
      <c r="C775" s="136"/>
      <c r="D775" s="4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40"/>
      <c r="C776" s="136"/>
      <c r="D776" s="4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40"/>
      <c r="C777" s="136"/>
      <c r="D777" s="4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40"/>
      <c r="C778" s="136"/>
      <c r="D778" s="4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40"/>
      <c r="C779" s="136"/>
      <c r="D779" s="4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40"/>
      <c r="C780" s="136"/>
      <c r="D780" s="4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40"/>
      <c r="C781" s="136"/>
      <c r="D781" s="4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40"/>
      <c r="C782" s="136"/>
      <c r="D782" s="4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40"/>
      <c r="C783" s="136"/>
      <c r="D783" s="4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40"/>
      <c r="C784" s="136"/>
      <c r="D784" s="4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40"/>
      <c r="C785" s="136"/>
      <c r="D785" s="4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40"/>
      <c r="C786" s="136"/>
      <c r="D786" s="4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40"/>
      <c r="C787" s="136"/>
      <c r="D787" s="4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40"/>
      <c r="C788" s="136"/>
      <c r="D788" s="4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40"/>
      <c r="C789" s="136"/>
      <c r="D789" s="4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40"/>
      <c r="C790" s="136"/>
      <c r="D790" s="4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40"/>
      <c r="C791" s="136"/>
      <c r="D791" s="4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40"/>
      <c r="C792" s="136"/>
      <c r="D792" s="4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40"/>
      <c r="C793" s="136"/>
      <c r="D793" s="4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40"/>
      <c r="C794" s="136"/>
      <c r="D794" s="4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40"/>
      <c r="C795" s="136"/>
      <c r="D795" s="4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40"/>
      <c r="C796" s="136"/>
      <c r="D796" s="4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40"/>
      <c r="C797" s="136"/>
      <c r="D797" s="4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40"/>
      <c r="C798" s="136"/>
      <c r="D798" s="4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40"/>
      <c r="C799" s="136"/>
      <c r="D799" s="4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40"/>
      <c r="C800" s="136"/>
      <c r="D800" s="4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40"/>
      <c r="C801" s="136"/>
      <c r="D801" s="4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40"/>
      <c r="C802" s="136"/>
      <c r="D802" s="4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40"/>
      <c r="C803" s="136"/>
      <c r="D803" s="4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40"/>
      <c r="C804" s="136"/>
      <c r="D804" s="4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40"/>
      <c r="C805" s="136"/>
      <c r="D805" s="4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40"/>
      <c r="C806" s="136"/>
      <c r="D806" s="4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40"/>
      <c r="C807" s="136"/>
      <c r="D807" s="4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40"/>
      <c r="C808" s="136"/>
      <c r="D808" s="4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40"/>
      <c r="C809" s="136"/>
      <c r="D809" s="4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40"/>
      <c r="C810" s="136"/>
      <c r="D810" s="4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40"/>
      <c r="C811" s="136"/>
      <c r="D811" s="4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40"/>
      <c r="C812" s="136"/>
      <c r="D812" s="4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40"/>
      <c r="C813" s="136"/>
      <c r="D813" s="4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40"/>
      <c r="C814" s="136"/>
      <c r="D814" s="4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40"/>
      <c r="C815" s="136"/>
      <c r="D815" s="4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40"/>
      <c r="C816" s="136"/>
      <c r="D816" s="4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40"/>
      <c r="C817" s="136"/>
      <c r="D817" s="4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40"/>
      <c r="C818" s="136"/>
      <c r="D818" s="4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40"/>
      <c r="C819" s="136"/>
      <c r="D819" s="4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40"/>
      <c r="C820" s="136"/>
      <c r="D820" s="4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40"/>
      <c r="C821" s="136"/>
      <c r="D821" s="4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40"/>
      <c r="C822" s="136"/>
      <c r="D822" s="4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40"/>
      <c r="C823" s="136"/>
      <c r="D823" s="4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40"/>
      <c r="C824" s="136"/>
      <c r="D824" s="4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40"/>
      <c r="C825" s="136"/>
      <c r="D825" s="4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40"/>
      <c r="C826" s="136"/>
      <c r="D826" s="4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40"/>
      <c r="C827" s="136"/>
      <c r="D827" s="4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40"/>
      <c r="C828" s="136"/>
      <c r="D828" s="4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40"/>
      <c r="C829" s="136"/>
      <c r="D829" s="4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40"/>
      <c r="C830" s="136"/>
      <c r="D830" s="4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40"/>
      <c r="C831" s="136"/>
      <c r="D831" s="4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40"/>
      <c r="C832" s="136"/>
      <c r="D832" s="4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40"/>
      <c r="C833" s="136"/>
      <c r="D833" s="4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40"/>
      <c r="C834" s="136"/>
      <c r="D834" s="4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40"/>
      <c r="C835" s="136"/>
      <c r="D835" s="4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40"/>
      <c r="C836" s="136"/>
      <c r="D836" s="4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40"/>
      <c r="C837" s="136"/>
      <c r="D837" s="4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40"/>
      <c r="C838" s="136"/>
      <c r="D838" s="4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40"/>
      <c r="C839" s="136"/>
      <c r="D839" s="4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40"/>
      <c r="C840" s="136"/>
      <c r="D840" s="4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40"/>
      <c r="C841" s="136"/>
      <c r="D841" s="4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40"/>
      <c r="C842" s="136"/>
      <c r="D842" s="4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40"/>
      <c r="C843" s="136"/>
      <c r="D843" s="4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40"/>
      <c r="C844" s="136"/>
      <c r="D844" s="4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40"/>
      <c r="C845" s="136"/>
      <c r="D845" s="4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40"/>
      <c r="C846" s="136"/>
      <c r="D846" s="4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40"/>
      <c r="C847" s="136"/>
      <c r="D847" s="4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40"/>
      <c r="C848" s="136"/>
      <c r="D848" s="4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40"/>
      <c r="C849" s="136"/>
      <c r="D849" s="4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40"/>
      <c r="C850" s="136"/>
      <c r="D850" s="4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40"/>
      <c r="C851" s="136"/>
      <c r="D851" s="4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40"/>
      <c r="C852" s="136"/>
      <c r="D852" s="4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40"/>
      <c r="C853" s="136"/>
      <c r="D853" s="4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40"/>
      <c r="C854" s="136"/>
      <c r="D854" s="4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40"/>
      <c r="C855" s="136"/>
      <c r="D855" s="4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40"/>
      <c r="C856" s="136"/>
      <c r="D856" s="4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40"/>
      <c r="C857" s="136"/>
      <c r="D857" s="4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40"/>
      <c r="C858" s="136"/>
      <c r="D858" s="4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40"/>
      <c r="C859" s="136"/>
      <c r="D859" s="4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40"/>
      <c r="C860" s="136"/>
      <c r="D860" s="4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40"/>
      <c r="C861" s="136"/>
      <c r="D861" s="4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40"/>
      <c r="C862" s="136"/>
      <c r="D862" s="4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40"/>
      <c r="C863" s="136"/>
      <c r="D863" s="4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40"/>
      <c r="C864" s="136"/>
      <c r="D864" s="4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40"/>
      <c r="C865" s="136"/>
      <c r="D865" s="4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40"/>
      <c r="C866" s="136"/>
      <c r="D866" s="4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40"/>
      <c r="C867" s="136"/>
      <c r="D867" s="4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40"/>
      <c r="C868" s="136"/>
      <c r="D868" s="4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40"/>
      <c r="C869" s="136"/>
      <c r="D869" s="4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40"/>
      <c r="C870" s="136"/>
      <c r="D870" s="4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40"/>
      <c r="C871" s="136"/>
      <c r="D871" s="4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40"/>
      <c r="C872" s="136"/>
      <c r="D872" s="4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40"/>
      <c r="C873" s="136"/>
      <c r="D873" s="4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40"/>
      <c r="C874" s="136"/>
      <c r="D874" s="4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40"/>
      <c r="C875" s="136"/>
      <c r="D875" s="4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40"/>
      <c r="C876" s="136"/>
      <c r="D876" s="4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40"/>
      <c r="C877" s="136"/>
      <c r="D877" s="4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40"/>
      <c r="C878" s="136"/>
      <c r="D878" s="4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40"/>
      <c r="C879" s="136"/>
      <c r="D879" s="4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40"/>
      <c r="C880" s="136"/>
      <c r="D880" s="4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40"/>
      <c r="C881" s="136"/>
      <c r="D881" s="4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40"/>
      <c r="C882" s="136"/>
      <c r="D882" s="4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40"/>
      <c r="C883" s="136"/>
      <c r="D883" s="4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40"/>
      <c r="C884" s="136"/>
      <c r="D884" s="4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40"/>
      <c r="C885" s="136"/>
      <c r="D885" s="4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40"/>
      <c r="C886" s="136"/>
      <c r="D886" s="4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40"/>
      <c r="C887" s="136"/>
      <c r="D887" s="4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40"/>
      <c r="C888" s="136"/>
      <c r="D888" s="4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40"/>
      <c r="C889" s="136"/>
      <c r="D889" s="4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40"/>
      <c r="C890" s="136"/>
      <c r="D890" s="4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40"/>
      <c r="C891" s="136"/>
      <c r="D891" s="4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40"/>
      <c r="C892" s="136"/>
      <c r="D892" s="4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40"/>
      <c r="C893" s="136"/>
      <c r="D893" s="4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40"/>
      <c r="C894" s="136"/>
      <c r="D894" s="4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40"/>
      <c r="C895" s="136"/>
      <c r="D895" s="4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40"/>
      <c r="C896" s="136"/>
      <c r="D896" s="4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40"/>
      <c r="C897" s="136"/>
      <c r="D897" s="4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40"/>
      <c r="C898" s="136"/>
      <c r="D898" s="4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40"/>
      <c r="C899" s="136"/>
      <c r="D899" s="4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40"/>
      <c r="C900" s="136"/>
      <c r="D900" s="4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40"/>
      <c r="C901" s="136"/>
      <c r="D901" s="4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40"/>
      <c r="C902" s="136"/>
      <c r="D902" s="4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40"/>
      <c r="C903" s="136"/>
      <c r="D903" s="4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40"/>
      <c r="C904" s="136"/>
      <c r="D904" s="4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40"/>
      <c r="C905" s="136"/>
      <c r="D905" s="4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40"/>
      <c r="C906" s="136"/>
      <c r="D906" s="4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40"/>
      <c r="C907" s="136"/>
      <c r="D907" s="4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40"/>
      <c r="C908" s="136"/>
      <c r="D908" s="4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40"/>
      <c r="C909" s="136"/>
      <c r="D909" s="4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40"/>
      <c r="C910" s="136"/>
      <c r="D910" s="4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40"/>
      <c r="C911" s="136"/>
      <c r="D911" s="4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40"/>
      <c r="C912" s="136"/>
      <c r="D912" s="4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40"/>
      <c r="C913" s="136"/>
      <c r="D913" s="4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40"/>
      <c r="C914" s="136"/>
      <c r="D914" s="4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40"/>
      <c r="C915" s="136"/>
      <c r="D915" s="4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40"/>
      <c r="C916" s="136"/>
      <c r="D916" s="4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40"/>
      <c r="C917" s="136"/>
      <c r="D917" s="4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40"/>
      <c r="C918" s="136"/>
      <c r="D918" s="4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40"/>
      <c r="C919" s="136"/>
      <c r="D919" s="4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40"/>
      <c r="C920" s="136"/>
      <c r="D920" s="4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40"/>
      <c r="C921" s="136"/>
      <c r="D921" s="4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40"/>
      <c r="C922" s="136"/>
      <c r="D922" s="4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40"/>
      <c r="C923" s="136"/>
      <c r="D923" s="4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40"/>
      <c r="C924" s="136"/>
      <c r="D924" s="4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40"/>
      <c r="C925" s="136"/>
      <c r="D925" s="4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40"/>
      <c r="C926" s="136"/>
      <c r="D926" s="4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40"/>
      <c r="C927" s="136"/>
      <c r="D927" s="4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40"/>
      <c r="C928" s="136"/>
      <c r="D928" s="4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40"/>
      <c r="C929" s="136"/>
      <c r="D929" s="4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40"/>
      <c r="C930" s="136"/>
      <c r="D930" s="4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40"/>
      <c r="C931" s="136"/>
      <c r="D931" s="4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40"/>
      <c r="C932" s="136"/>
      <c r="D932" s="4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40"/>
      <c r="C933" s="136"/>
      <c r="D933" s="4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40"/>
      <c r="C934" s="136"/>
      <c r="D934" s="4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40"/>
      <c r="C935" s="136"/>
      <c r="D935" s="4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40"/>
      <c r="C936" s="136"/>
      <c r="D936" s="4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40"/>
      <c r="C937" s="136"/>
      <c r="D937" s="4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40"/>
      <c r="C938" s="136"/>
      <c r="D938" s="4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40"/>
      <c r="C939" s="136"/>
      <c r="D939" s="4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40"/>
      <c r="C940" s="136"/>
      <c r="D940" s="4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40"/>
      <c r="C941" s="136"/>
      <c r="D941" s="4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40"/>
      <c r="C942" s="136"/>
      <c r="D942" s="4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40"/>
      <c r="C943" s="136"/>
      <c r="D943" s="4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40"/>
      <c r="C944" s="136"/>
      <c r="D944" s="4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40"/>
      <c r="C945" s="136"/>
      <c r="D945" s="4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40"/>
      <c r="C946" s="136"/>
      <c r="D946" s="4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40"/>
      <c r="C947" s="136"/>
      <c r="D947" s="4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40"/>
      <c r="C948" s="136"/>
      <c r="D948" s="4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40"/>
      <c r="C949" s="136"/>
      <c r="D949" s="4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40"/>
      <c r="C950" s="136"/>
      <c r="D950" s="4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40"/>
      <c r="C951" s="136"/>
      <c r="D951" s="4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40"/>
      <c r="C952" s="136"/>
      <c r="D952" s="4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40"/>
      <c r="C953" s="136"/>
      <c r="D953" s="4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40"/>
      <c r="C954" s="136"/>
      <c r="D954" s="4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40"/>
      <c r="C955" s="136"/>
      <c r="D955" s="4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40"/>
      <c r="C956" s="136"/>
      <c r="D956" s="4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40"/>
      <c r="C957" s="136"/>
      <c r="D957" s="4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40"/>
      <c r="C958" s="136"/>
      <c r="D958" s="4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40"/>
      <c r="C959" s="136"/>
      <c r="D959" s="4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40"/>
      <c r="C960" s="136"/>
      <c r="D960" s="4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40"/>
      <c r="C961" s="136"/>
      <c r="D961" s="4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40"/>
      <c r="C962" s="136"/>
      <c r="D962" s="4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40"/>
      <c r="C963" s="136"/>
      <c r="D963" s="4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40"/>
      <c r="C964" s="136"/>
      <c r="D964" s="4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40"/>
      <c r="C965" s="136"/>
      <c r="D965" s="4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40"/>
      <c r="C966" s="136"/>
      <c r="D966" s="4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40"/>
      <c r="C967" s="136"/>
      <c r="D967" s="4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40"/>
      <c r="C968" s="136"/>
      <c r="D968" s="4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40"/>
      <c r="C969" s="136"/>
      <c r="D969" s="4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40"/>
      <c r="C970" s="136"/>
      <c r="D970" s="4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40"/>
      <c r="C971" s="136"/>
      <c r="D971" s="4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40"/>
      <c r="C972" s="136"/>
      <c r="D972" s="4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40"/>
      <c r="C973" s="136"/>
      <c r="D973" s="4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40"/>
      <c r="C974" s="136"/>
      <c r="D974" s="4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40"/>
      <c r="C975" s="136"/>
      <c r="D975" s="4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40"/>
      <c r="C976" s="136"/>
      <c r="D976" s="4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40"/>
      <c r="C977" s="136"/>
      <c r="D977" s="4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40"/>
      <c r="C978" s="136"/>
      <c r="D978" s="4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40"/>
      <c r="C979" s="136"/>
      <c r="D979" s="4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40"/>
      <c r="C980" s="136"/>
      <c r="D980" s="4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40"/>
      <c r="C981" s="136"/>
      <c r="D981" s="4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40"/>
      <c r="C982" s="136"/>
      <c r="D982" s="4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40"/>
      <c r="C983" s="136"/>
      <c r="D983" s="4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40"/>
      <c r="C984" s="136"/>
      <c r="D984" s="4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40"/>
      <c r="C985" s="136"/>
      <c r="D985" s="4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40"/>
      <c r="C986" s="136"/>
      <c r="D986" s="4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40"/>
      <c r="C987" s="136"/>
      <c r="D987" s="4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40"/>
      <c r="C988" s="136"/>
      <c r="D988" s="4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40"/>
      <c r="C989" s="136"/>
      <c r="D989" s="4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40"/>
      <c r="C990" s="136"/>
      <c r="D990" s="4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40"/>
      <c r="C991" s="136"/>
      <c r="D991" s="4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40"/>
      <c r="C992" s="136"/>
      <c r="D992" s="4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40"/>
      <c r="C993" s="136"/>
      <c r="D993" s="4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40"/>
      <c r="C994" s="136"/>
      <c r="D994" s="4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40"/>
      <c r="C995" s="136"/>
      <c r="D995" s="4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40"/>
      <c r="C996" s="136"/>
      <c r="D996" s="4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40"/>
      <c r="C997" s="136"/>
      <c r="D997" s="4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40"/>
      <c r="C998" s="136"/>
      <c r="D998" s="4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40"/>
      <c r="C999" s="136"/>
      <c r="D999" s="4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40"/>
      <c r="C1000" s="136"/>
      <c r="D1000" s="4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40"/>
      <c r="C1001" s="136"/>
      <c r="D1001" s="42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40"/>
      <c r="C1002" s="136"/>
      <c r="D1002" s="42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40"/>
      <c r="C1003" s="136"/>
      <c r="D1003" s="4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40"/>
      <c r="C1004" s="136"/>
      <c r="D1004" s="42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40"/>
      <c r="C1005" s="136"/>
      <c r="D1005" s="42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40"/>
      <c r="C1006" s="136"/>
      <c r="D1006" s="42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40"/>
      <c r="C1007" s="136"/>
      <c r="D1007" s="42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40"/>
      <c r="C1008" s="136"/>
      <c r="D1008" s="42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40"/>
      <c r="C1009" s="136"/>
      <c r="D1009" s="42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40"/>
      <c r="C1010" s="136"/>
      <c r="D1010" s="42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40"/>
      <c r="C1011" s="136"/>
      <c r="D1011" s="42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</sheetData>
  <mergeCells count="40">
    <mergeCell ref="G15:H15"/>
    <mergeCell ref="G16:H16"/>
    <mergeCell ref="G14:H14"/>
    <mergeCell ref="G18:H18"/>
    <mergeCell ref="F24:J24"/>
    <mergeCell ref="G13:H13"/>
    <mergeCell ref="G19:H19"/>
    <mergeCell ref="A2:A5"/>
    <mergeCell ref="F2:F3"/>
    <mergeCell ref="F4:F5"/>
    <mergeCell ref="A6:A11"/>
    <mergeCell ref="A12:A16"/>
    <mergeCell ref="A17:A18"/>
    <mergeCell ref="A19:A25"/>
    <mergeCell ref="A26:A31"/>
    <mergeCell ref="A32:A35"/>
    <mergeCell ref="A36:A40"/>
    <mergeCell ref="A41:A43"/>
    <mergeCell ref="A44:A47"/>
    <mergeCell ref="A48:A53"/>
    <mergeCell ref="A54:A58"/>
    <mergeCell ref="A59:A65"/>
    <mergeCell ref="A66:A70"/>
    <mergeCell ref="A71:A74"/>
    <mergeCell ref="A75:A76"/>
    <mergeCell ref="A77:A80"/>
    <mergeCell ref="A81:A85"/>
    <mergeCell ref="A86:A92"/>
    <mergeCell ref="A127:A128"/>
    <mergeCell ref="A129:A132"/>
    <mergeCell ref="A133:A135"/>
    <mergeCell ref="A136:A141"/>
    <mergeCell ref="A142:A146"/>
    <mergeCell ref="A93:A95"/>
    <mergeCell ref="A96:A99"/>
    <mergeCell ref="A100:A105"/>
    <mergeCell ref="A106:A110"/>
    <mergeCell ref="A111:A114"/>
    <mergeCell ref="A115:A121"/>
    <mergeCell ref="A122:A126"/>
  </mergeCells>
  <conditionalFormatting sqref="D13 D19 F27:J108">
    <cfRule type="expression" dxfId="0" priority="1">
      <formula>$I13=TRUE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13"/>
    <col customWidth="1" min="4" max="4" width="21.88"/>
    <col customWidth="1" min="5" max="5" width="15.63"/>
    <col customWidth="1" min="6" max="6" width="24.38"/>
    <col customWidth="1" min="7" max="7" width="41.38"/>
    <col customWidth="1" min="8" max="8" width="14.38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8">
        <v>46111.0</v>
      </c>
      <c r="B2" s="132" t="s">
        <v>58</v>
      </c>
      <c r="C2" s="139">
        <f>131-38-34</f>
        <v>59</v>
      </c>
      <c r="D2" s="99" t="s">
        <v>40</v>
      </c>
      <c r="E2" s="41"/>
      <c r="F2" s="100">
        <v>46111.0</v>
      </c>
      <c r="G2" s="101" t="s">
        <v>350</v>
      </c>
      <c r="H2" s="102">
        <f>24357+'T32026'!G18</f>
        <v>24646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30" t="s">
        <v>351</v>
      </c>
      <c r="C3" s="131">
        <v>100.0</v>
      </c>
      <c r="D3" s="99" t="s">
        <v>40</v>
      </c>
      <c r="E3" s="41"/>
      <c r="F3" s="92"/>
      <c r="G3" s="41" t="s">
        <v>158</v>
      </c>
      <c r="H3" s="104">
        <v>50.0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30" t="s">
        <v>352</v>
      </c>
      <c r="C4" s="131">
        <v>82.0</v>
      </c>
      <c r="D4" s="99" t="s">
        <v>40</v>
      </c>
      <c r="E4" s="5"/>
      <c r="F4" s="103">
        <v>46116.0</v>
      </c>
      <c r="G4" s="41" t="s">
        <v>157</v>
      </c>
      <c r="H4" s="104">
        <v>5590.0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30" t="s">
        <v>353</v>
      </c>
      <c r="C5" s="131">
        <v>30.0</v>
      </c>
      <c r="D5" s="99" t="s">
        <v>40</v>
      </c>
      <c r="E5" s="41"/>
      <c r="F5" s="103">
        <v>46129.0</v>
      </c>
      <c r="G5" s="41" t="s">
        <v>161</v>
      </c>
      <c r="H5" s="104">
        <v>1000.0</v>
      </c>
      <c r="I5" s="2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30" t="s">
        <v>54</v>
      </c>
      <c r="C6" s="131">
        <v>25.0</v>
      </c>
      <c r="D6" s="99" t="s">
        <v>40</v>
      </c>
      <c r="E6" s="5"/>
      <c r="F6" s="103">
        <v>46130.0</v>
      </c>
      <c r="G6" s="41" t="s">
        <v>227</v>
      </c>
      <c r="H6" s="104">
        <v>500.0</v>
      </c>
      <c r="I6" s="29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30" t="s">
        <v>35</v>
      </c>
      <c r="C7" s="131">
        <v>2500.0</v>
      </c>
      <c r="D7" s="99" t="s">
        <v>35</v>
      </c>
      <c r="E7" s="5"/>
      <c r="F7" s="103">
        <v>46134.0</v>
      </c>
      <c r="G7" s="41" t="s">
        <v>227</v>
      </c>
      <c r="H7" s="104">
        <v>500.0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30" t="s">
        <v>84</v>
      </c>
      <c r="C8" s="131">
        <v>3000.0</v>
      </c>
      <c r="D8" s="99" t="s">
        <v>84</v>
      </c>
      <c r="E8" s="5"/>
      <c r="F8" s="103">
        <v>46136.0</v>
      </c>
      <c r="G8" s="41" t="s">
        <v>354</v>
      </c>
      <c r="H8" s="104">
        <v>3000.0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30" t="s">
        <v>41</v>
      </c>
      <c r="C9" s="131">
        <v>4000.0</v>
      </c>
      <c r="D9" s="99" t="s">
        <v>101</v>
      </c>
      <c r="E9" s="5"/>
      <c r="F9" s="103">
        <v>46137.0</v>
      </c>
      <c r="G9" s="41" t="s">
        <v>161</v>
      </c>
      <c r="H9" s="104">
        <v>1000.0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8">
        <v>46112.0</v>
      </c>
      <c r="B10" s="30" t="s">
        <v>136</v>
      </c>
      <c r="C10" s="131">
        <v>22.0</v>
      </c>
      <c r="D10" s="99" t="s">
        <v>40</v>
      </c>
      <c r="E10" s="5"/>
      <c r="F10" s="103"/>
      <c r="G10" s="41"/>
      <c r="H10" s="10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B11" s="30" t="s">
        <v>203</v>
      </c>
      <c r="C11" s="131">
        <f>147-35-42-35</f>
        <v>35</v>
      </c>
      <c r="D11" s="99" t="s">
        <v>40</v>
      </c>
      <c r="E11" s="41"/>
      <c r="F11" s="103"/>
      <c r="G11" s="41"/>
      <c r="H11" s="10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B12" s="30" t="s">
        <v>355</v>
      </c>
      <c r="C12" s="131">
        <v>834.0</v>
      </c>
      <c r="D12" s="99" t="s">
        <v>40</v>
      </c>
      <c r="E12" s="5"/>
      <c r="F12" s="112"/>
      <c r="G12" s="113"/>
      <c r="H12" s="11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30" t="s">
        <v>356</v>
      </c>
      <c r="C13" s="131">
        <v>123.0</v>
      </c>
      <c r="D13" s="99" t="s">
        <v>40</v>
      </c>
      <c r="E13" s="5"/>
      <c r="F13" s="117" t="s">
        <v>49</v>
      </c>
      <c r="G13" s="116">
        <f>SUM(H2:H12)</f>
        <v>36286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30" t="s">
        <v>145</v>
      </c>
      <c r="C14" s="131">
        <v>38.0</v>
      </c>
      <c r="D14" s="99" t="s">
        <v>40</v>
      </c>
      <c r="E14" s="5"/>
      <c r="F14" s="117" t="s">
        <v>51</v>
      </c>
      <c r="G14" s="118">
        <f>SUMIF(D2:D228, "&lt;&gt;Credit", C2:C536) + G15</f>
        <v>36217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30" t="s">
        <v>2</v>
      </c>
      <c r="C15" s="131">
        <v>1000.0</v>
      </c>
      <c r="D15" s="99" t="s">
        <v>2</v>
      </c>
      <c r="E15" s="5"/>
      <c r="F15" s="117" t="s">
        <v>53</v>
      </c>
      <c r="G15" s="119">
        <f>282+43-71+42+3+7+170</f>
        <v>476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8">
        <v>46113.0</v>
      </c>
      <c r="B16" s="30" t="s">
        <v>152</v>
      </c>
      <c r="C16" s="131">
        <v>15.0</v>
      </c>
      <c r="D16" s="99" t="s">
        <v>40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B17" s="30" t="s">
        <v>105</v>
      </c>
      <c r="C17" s="131">
        <v>38.0</v>
      </c>
      <c r="D17" s="99" t="s">
        <v>40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B18" s="30" t="s">
        <v>357</v>
      </c>
      <c r="C18" s="131">
        <f>179-33-44-33-35</f>
        <v>34</v>
      </c>
      <c r="D18" s="99" t="s">
        <v>40</v>
      </c>
      <c r="E18" s="41"/>
      <c r="F18" s="117" t="s">
        <v>57</v>
      </c>
      <c r="G18" s="121">
        <f>G13-G14-J26</f>
        <v>69</v>
      </c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B19" s="30" t="s">
        <v>343</v>
      </c>
      <c r="C19" s="131">
        <v>40.0</v>
      </c>
      <c r="D19" s="99" t="s">
        <v>40</v>
      </c>
      <c r="E19" s="5"/>
      <c r="F19" s="117" t="s">
        <v>59</v>
      </c>
      <c r="G19" s="122">
        <f>G13-G14</f>
        <v>69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8">
        <v>46114.0</v>
      </c>
      <c r="B20" s="30" t="s">
        <v>152</v>
      </c>
      <c r="C20" s="131">
        <v>15.0</v>
      </c>
      <c r="D20" s="99" t="s">
        <v>40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B21" s="30" t="s">
        <v>145</v>
      </c>
      <c r="C21" s="131">
        <v>38.0</v>
      </c>
      <c r="D21" s="99" t="s">
        <v>40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30" t="s">
        <v>165</v>
      </c>
      <c r="C22" s="131">
        <v>497.0</v>
      </c>
      <c r="D22" s="99" t="s">
        <v>66</v>
      </c>
      <c r="E22" s="5"/>
      <c r="F22" s="124" t="s">
        <v>40</v>
      </c>
      <c r="G22" s="19">
        <v>8000.0</v>
      </c>
      <c r="H22" s="37">
        <f>SUMIF(D2:D151, "=Living expense",C2:C169)+G15</f>
        <v>9287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30" t="s">
        <v>167</v>
      </c>
      <c r="C23" s="131">
        <v>13.0</v>
      </c>
      <c r="D23" s="99" t="s">
        <v>40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B24" s="30" t="s">
        <v>80</v>
      </c>
      <c r="C24" s="131">
        <v>110.0</v>
      </c>
      <c r="D24" s="99" t="s">
        <v>40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30" t="s">
        <v>37</v>
      </c>
      <c r="C25" s="131">
        <v>50.0</v>
      </c>
      <c r="D25" s="99" t="s">
        <v>40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8">
        <v>46115.0</v>
      </c>
      <c r="B26" s="30" t="s">
        <v>108</v>
      </c>
      <c r="C26" s="131">
        <v>1000.0</v>
      </c>
      <c r="D26" s="99" t="s">
        <v>40</v>
      </c>
      <c r="E26" s="5"/>
      <c r="F26" s="126" t="s">
        <v>73</v>
      </c>
      <c r="G26" s="127">
        <f t="shared" ref="G26:H26" si="1">SUM(G27:G107)</f>
        <v>20000</v>
      </c>
      <c r="H26" s="128">
        <f t="shared" si="1"/>
        <v>23577</v>
      </c>
      <c r="I26" s="129"/>
      <c r="J26" s="128">
        <f>SUM(J27:J107)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B27" s="30" t="s">
        <v>50</v>
      </c>
      <c r="C27" s="131">
        <v>35.0</v>
      </c>
      <c r="D27" s="99" t="s">
        <v>40</v>
      </c>
      <c r="E27" s="5"/>
      <c r="F27" s="105" t="s">
        <v>66</v>
      </c>
      <c r="G27" s="107">
        <v>6500.0</v>
      </c>
      <c r="H27" s="130">
        <f>IFERROR(__xludf.DUMMYFUNCTION("SUMIF($D$2:$D$527, TO_TEXT(F27) ,$C$2:$C$527)"),6606.0)</f>
        <v>6606</v>
      </c>
      <c r="I27" s="41" t="b">
        <v>1</v>
      </c>
      <c r="J27" s="42">
        <f t="shared" ref="J27:J32" si="2">IF(I27=TRUE,0,MAX(G27-H27,0))</f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B28" s="30" t="s">
        <v>152</v>
      </c>
      <c r="C28" s="131">
        <v>15.0</v>
      </c>
      <c r="D28" s="99" t="s">
        <v>40</v>
      </c>
      <c r="E28" s="5"/>
      <c r="F28" s="105" t="s">
        <v>12</v>
      </c>
      <c r="G28" s="107">
        <v>3000.0</v>
      </c>
      <c r="H28" s="130">
        <f>IFERROR(__xludf.DUMMYFUNCTION("SUMIF($D$2:$D$527, TO_TEXT(F28) ,$C$2:$C$527)"),5000.0)</f>
        <v>5000</v>
      </c>
      <c r="I28" s="41" t="b">
        <v>1</v>
      </c>
      <c r="J28" s="42">
        <f t="shared" si="2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B29" s="30" t="s">
        <v>93</v>
      </c>
      <c r="C29" s="131">
        <v>114.0</v>
      </c>
      <c r="D29" s="99" t="s">
        <v>40</v>
      </c>
      <c r="E29" s="5"/>
      <c r="F29" s="41" t="s">
        <v>84</v>
      </c>
      <c r="G29" s="99">
        <v>3000.0</v>
      </c>
      <c r="H29" s="130">
        <f>IFERROR(__xludf.DUMMYFUNCTION("SUMIF($D$2:$D$527, TO_TEXT(F29) ,$C$2:$C$527)"),3000.0)</f>
        <v>3000</v>
      </c>
      <c r="I29" s="41" t="b">
        <v>1</v>
      </c>
      <c r="J29" s="42">
        <f t="shared" si="2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B30" s="30" t="s">
        <v>358</v>
      </c>
      <c r="C30" s="131">
        <v>90.0</v>
      </c>
      <c r="D30" s="99" t="s">
        <v>40</v>
      </c>
      <c r="E30" s="5"/>
      <c r="F30" s="105" t="s">
        <v>35</v>
      </c>
      <c r="G30" s="107">
        <v>2500.0</v>
      </c>
      <c r="H30" s="130">
        <f>IFERROR(__xludf.DUMMYFUNCTION("SUMIF($D$2:$D$527, TO_TEXT(F30) ,$C$2:$C$527)"),2500.0)</f>
        <v>2500</v>
      </c>
      <c r="I30" s="41" t="b">
        <v>1</v>
      </c>
      <c r="J30" s="42">
        <f t="shared" si="2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30" t="s">
        <v>148</v>
      </c>
      <c r="C31" s="131">
        <v>70.0</v>
      </c>
      <c r="D31" s="99" t="s">
        <v>40</v>
      </c>
      <c r="E31" s="5"/>
      <c r="F31" s="105" t="s">
        <v>101</v>
      </c>
      <c r="G31" s="107">
        <v>4000.0</v>
      </c>
      <c r="H31" s="130">
        <f>IFERROR(__xludf.DUMMYFUNCTION("SUMIF($D$2:$D$527, TO_TEXT(F31) ,$C$2:$C$527)"),4971.0)</f>
        <v>4971</v>
      </c>
      <c r="I31" s="41" t="b">
        <v>1</v>
      </c>
      <c r="J31" s="42">
        <f t="shared" si="2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8">
        <v>46116.0</v>
      </c>
      <c r="B32" s="30" t="s">
        <v>105</v>
      </c>
      <c r="C32" s="131">
        <v>30.0</v>
      </c>
      <c r="D32" s="99" t="s">
        <v>40</v>
      </c>
      <c r="E32" s="5"/>
      <c r="F32" s="41" t="s">
        <v>2</v>
      </c>
      <c r="G32" s="99">
        <v>1000.0</v>
      </c>
      <c r="H32" s="130">
        <f>IFERROR(__xludf.DUMMYFUNCTION("SUMIF($D$2:$D$527, TO_TEXT(F32) ,$C$2:$C$527)"),1500.0)</f>
        <v>1500</v>
      </c>
      <c r="I32" s="41" t="b">
        <v>1</v>
      </c>
      <c r="J32" s="42">
        <f t="shared" si="2"/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B33" s="30" t="s">
        <v>173</v>
      </c>
      <c r="C33" s="131">
        <v>235.0</v>
      </c>
      <c r="D33" s="99" t="s">
        <v>40</v>
      </c>
      <c r="E33" s="5"/>
      <c r="F33" s="41"/>
      <c r="G33" s="99"/>
      <c r="H33" s="130"/>
      <c r="I33" s="41"/>
      <c r="J33" s="4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B34" s="30" t="s">
        <v>320</v>
      </c>
      <c r="C34" s="131">
        <v>145.0</v>
      </c>
      <c r="D34" s="99" t="s">
        <v>40</v>
      </c>
      <c r="E34" s="41"/>
      <c r="F34" s="105"/>
      <c r="G34" s="107"/>
      <c r="H34" s="130"/>
      <c r="I34" s="41"/>
      <c r="J34" s="4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30" t="s">
        <v>356</v>
      </c>
      <c r="C35" s="131">
        <v>119.0</v>
      </c>
      <c r="D35" s="99" t="s">
        <v>40</v>
      </c>
      <c r="E35" s="5"/>
      <c r="F35" s="41"/>
      <c r="G35" s="99"/>
      <c r="H35" s="130"/>
      <c r="I35" s="41"/>
      <c r="J35" s="4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B36" s="30" t="s">
        <v>2</v>
      </c>
      <c r="C36" s="131">
        <v>500.0</v>
      </c>
      <c r="D36" s="33" t="s">
        <v>2</v>
      </c>
      <c r="E36" s="5"/>
      <c r="F36" s="41"/>
      <c r="G36" s="99"/>
      <c r="H36" s="130"/>
      <c r="I36" s="41"/>
      <c r="J36" s="42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8">
        <v>46117.0</v>
      </c>
      <c r="B37" s="30" t="s">
        <v>167</v>
      </c>
      <c r="C37" s="131">
        <v>20.0</v>
      </c>
      <c r="D37" s="99" t="s">
        <v>40</v>
      </c>
      <c r="E37" s="5"/>
      <c r="F37" s="41"/>
      <c r="G37" s="99"/>
      <c r="H37" s="130"/>
      <c r="I37" s="41"/>
      <c r="J37" s="4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B38" s="30" t="s">
        <v>93</v>
      </c>
      <c r="C38" s="131">
        <v>110.0</v>
      </c>
      <c r="D38" s="99" t="s">
        <v>40</v>
      </c>
      <c r="E38" s="41"/>
      <c r="F38" s="41"/>
      <c r="G38" s="99"/>
      <c r="H38" s="130"/>
      <c r="I38" s="99"/>
      <c r="J38" s="130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8">
        <v>46118.0</v>
      </c>
      <c r="B39" s="30" t="s">
        <v>359</v>
      </c>
      <c r="C39" s="131">
        <v>200.0</v>
      </c>
      <c r="D39" s="99" t="s">
        <v>66</v>
      </c>
      <c r="E39" s="5"/>
      <c r="F39" s="41"/>
      <c r="G39" s="99"/>
      <c r="H39" s="130"/>
      <c r="I39" s="99"/>
      <c r="J39" s="130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B40" s="30" t="s">
        <v>211</v>
      </c>
      <c r="C40" s="131">
        <v>107.0</v>
      </c>
      <c r="D40" s="99" t="s">
        <v>40</v>
      </c>
      <c r="E40" s="41"/>
      <c r="F40" s="41"/>
      <c r="G40" s="99"/>
      <c r="H40" s="130"/>
      <c r="I40" s="99"/>
      <c r="J40" s="130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B41" s="30" t="s">
        <v>295</v>
      </c>
      <c r="C41" s="131">
        <v>234.0</v>
      </c>
      <c r="D41" s="99" t="s">
        <v>40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8">
        <v>46119.0</v>
      </c>
      <c r="B42" s="30" t="s">
        <v>136</v>
      </c>
      <c r="C42" s="131">
        <v>18.0</v>
      </c>
      <c r="D42" s="99" t="s">
        <v>40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30" t="s">
        <v>80</v>
      </c>
      <c r="C43" s="131">
        <v>113.0</v>
      </c>
      <c r="D43" s="99" t="s">
        <v>40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8">
        <v>46120.0</v>
      </c>
      <c r="B44" s="30" t="s">
        <v>50</v>
      </c>
      <c r="C44" s="131">
        <v>27.0</v>
      </c>
      <c r="D44" s="99" t="s">
        <v>40</v>
      </c>
      <c r="E44" s="5"/>
      <c r="F44" s="41"/>
      <c r="G44" s="99"/>
      <c r="H44" s="130"/>
      <c r="I44" s="99"/>
      <c r="J44" s="13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B45" s="30" t="s">
        <v>136</v>
      </c>
      <c r="C45" s="131">
        <v>18.0</v>
      </c>
      <c r="D45" s="99" t="s">
        <v>40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B46" s="30" t="s">
        <v>360</v>
      </c>
      <c r="C46" s="131">
        <f>140-27-27-27</f>
        <v>59</v>
      </c>
      <c r="D46" s="99" t="s">
        <v>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B47" s="30" t="s">
        <v>343</v>
      </c>
      <c r="C47" s="131">
        <v>30.0</v>
      </c>
      <c r="D47" s="99" t="s">
        <v>40</v>
      </c>
      <c r="E47" s="5"/>
      <c r="F47" s="41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8">
        <v>46121.0</v>
      </c>
      <c r="B48" s="30" t="s">
        <v>50</v>
      </c>
      <c r="C48" s="131">
        <v>27.0</v>
      </c>
      <c r="D48" s="99" t="s">
        <v>40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B49" s="30" t="s">
        <v>136</v>
      </c>
      <c r="C49" s="131">
        <v>18.0</v>
      </c>
      <c r="D49" s="99" t="s">
        <v>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B50" s="30" t="s">
        <v>361</v>
      </c>
      <c r="C50" s="131">
        <v>0.0</v>
      </c>
      <c r="D50" s="99" t="s">
        <v>40</v>
      </c>
      <c r="E50" s="4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B51" s="30" t="s">
        <v>361</v>
      </c>
      <c r="C51" s="131">
        <f>151-38-35-32</f>
        <v>46</v>
      </c>
      <c r="D51" s="99" t="s">
        <v>40</v>
      </c>
      <c r="E51" s="4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98">
        <v>46122.0</v>
      </c>
      <c r="B52" s="30" t="s">
        <v>50</v>
      </c>
      <c r="C52" s="131">
        <v>27.0</v>
      </c>
      <c r="D52" s="99" t="s">
        <v>40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B53" s="30" t="s">
        <v>136</v>
      </c>
      <c r="C53" s="131">
        <v>18.0</v>
      </c>
      <c r="D53" s="99" t="s">
        <v>40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B54" s="30" t="s">
        <v>37</v>
      </c>
      <c r="C54" s="131">
        <v>55.0</v>
      </c>
      <c r="D54" s="99" t="s">
        <v>40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30" t="s">
        <v>362</v>
      </c>
      <c r="C55" s="131">
        <v>64.0</v>
      </c>
      <c r="D55" s="99" t="s">
        <v>40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B56" s="30" t="s">
        <v>148</v>
      </c>
      <c r="C56" s="131">
        <v>95.0</v>
      </c>
      <c r="D56" s="99" t="s">
        <v>40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B57" s="30" t="s">
        <v>363</v>
      </c>
      <c r="C57" s="131">
        <v>178.0</v>
      </c>
      <c r="D57" s="99" t="s">
        <v>48</v>
      </c>
      <c r="E57" s="4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98">
        <v>46123.0</v>
      </c>
      <c r="B58" s="30" t="s">
        <v>364</v>
      </c>
      <c r="C58" s="131">
        <v>170.0</v>
      </c>
      <c r="D58" s="99" t="s">
        <v>40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B59" s="30" t="s">
        <v>365</v>
      </c>
      <c r="C59" s="131">
        <v>130.0</v>
      </c>
      <c r="D59" s="99" t="s">
        <v>40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B60" s="30" t="s">
        <v>80</v>
      </c>
      <c r="C60" s="131">
        <v>101.0</v>
      </c>
      <c r="D60" s="99" t="s">
        <v>40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B61" s="30" t="s">
        <v>366</v>
      </c>
      <c r="C61" s="131">
        <v>221.0</v>
      </c>
      <c r="D61" s="99" t="s">
        <v>101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98">
        <v>46124.0</v>
      </c>
      <c r="B62" s="30" t="s">
        <v>367</v>
      </c>
      <c r="C62" s="131">
        <v>40.0</v>
      </c>
      <c r="D62" s="99" t="s">
        <v>40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B63" s="30" t="s">
        <v>91</v>
      </c>
      <c r="C63" s="131">
        <v>132.0</v>
      </c>
      <c r="D63" s="99" t="s">
        <v>40</v>
      </c>
      <c r="E63" s="4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98">
        <v>46125.0</v>
      </c>
      <c r="B64" s="30" t="s">
        <v>50</v>
      </c>
      <c r="C64" s="131">
        <v>38.0</v>
      </c>
      <c r="D64" s="99" t="s">
        <v>40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B65" s="30" t="s">
        <v>136</v>
      </c>
      <c r="C65" s="131">
        <v>18.0</v>
      </c>
      <c r="D65" s="99" t="s">
        <v>40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B66" s="30" t="s">
        <v>357</v>
      </c>
      <c r="C66" s="131">
        <f>123-35-35</f>
        <v>53</v>
      </c>
      <c r="D66" s="99" t="s">
        <v>40</v>
      </c>
      <c r="E66" s="4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98">
        <v>46126.0</v>
      </c>
      <c r="B67" s="30" t="s">
        <v>50</v>
      </c>
      <c r="C67" s="131">
        <v>27.0</v>
      </c>
      <c r="D67" s="99" t="s">
        <v>40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B68" s="30" t="s">
        <v>136</v>
      </c>
      <c r="C68" s="131">
        <v>18.0</v>
      </c>
      <c r="D68" s="99" t="s">
        <v>40</v>
      </c>
      <c r="E68" s="4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B69" s="30" t="s">
        <v>357</v>
      </c>
      <c r="C69" s="131">
        <f>281-54-49-33-33-54-11</f>
        <v>47</v>
      </c>
      <c r="D69" s="99" t="s">
        <v>40</v>
      </c>
      <c r="E69" s="4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B70" s="30" t="s">
        <v>151</v>
      </c>
      <c r="C70" s="131">
        <v>293.0</v>
      </c>
      <c r="D70" s="99" t="s">
        <v>40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30" t="s">
        <v>258</v>
      </c>
      <c r="C71" s="131">
        <v>52.0</v>
      </c>
      <c r="D71" s="99" t="s">
        <v>40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98">
        <v>46127.0</v>
      </c>
      <c r="B72" s="30" t="s">
        <v>136</v>
      </c>
      <c r="C72" s="131">
        <v>18.0</v>
      </c>
      <c r="D72" s="99" t="s">
        <v>40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B73" s="30" t="s">
        <v>66</v>
      </c>
      <c r="C73" s="131">
        <v>5800.0</v>
      </c>
      <c r="D73" s="99" t="s">
        <v>66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30" t="s">
        <v>12</v>
      </c>
      <c r="C74" s="131">
        <v>5000.0</v>
      </c>
      <c r="D74" s="99" t="s">
        <v>12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B75" s="30" t="s">
        <v>203</v>
      </c>
      <c r="C75" s="131">
        <f>163-23-28-17-28-11-28</f>
        <v>28</v>
      </c>
      <c r="D75" s="99" t="s">
        <v>40</v>
      </c>
      <c r="E75" s="4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30" t="s">
        <v>343</v>
      </c>
      <c r="C76" s="131">
        <v>40.0</v>
      </c>
      <c r="D76" s="99" t="s">
        <v>40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98">
        <v>46128.0</v>
      </c>
      <c r="B77" s="30" t="s">
        <v>368</v>
      </c>
      <c r="C77" s="131">
        <v>200.0</v>
      </c>
      <c r="D77" s="99" t="s">
        <v>40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B78" s="30" t="s">
        <v>56</v>
      </c>
      <c r="C78" s="131">
        <v>16.0</v>
      </c>
      <c r="D78" s="99" t="s">
        <v>40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B79" s="30" t="s">
        <v>357</v>
      </c>
      <c r="C79" s="131">
        <f>170-49-56-13</f>
        <v>52</v>
      </c>
      <c r="D79" s="99" t="s">
        <v>40</v>
      </c>
      <c r="E79" s="4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B80" s="30" t="s">
        <v>369</v>
      </c>
      <c r="C80" s="131">
        <v>58.0</v>
      </c>
      <c r="D80" s="99" t="s">
        <v>40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8">
        <v>46129.0</v>
      </c>
      <c r="B81" s="30" t="s">
        <v>178</v>
      </c>
      <c r="C81" s="131">
        <v>109.0</v>
      </c>
      <c r="D81" s="99" t="s">
        <v>66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B82" s="30" t="s">
        <v>50</v>
      </c>
      <c r="C82" s="131">
        <v>27.0</v>
      </c>
      <c r="D82" s="99" t="s">
        <v>40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B83" s="30" t="s">
        <v>136</v>
      </c>
      <c r="C83" s="131">
        <v>22.0</v>
      </c>
      <c r="D83" s="99" t="s">
        <v>40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30" t="s">
        <v>108</v>
      </c>
      <c r="C84" s="131">
        <v>1000.0</v>
      </c>
      <c r="D84" s="99" t="s">
        <v>34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B85" s="30" t="s">
        <v>343</v>
      </c>
      <c r="C85" s="131">
        <v>20.0</v>
      </c>
      <c r="D85" s="99" t="s">
        <v>40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98">
        <v>46130.0</v>
      </c>
      <c r="B86" s="30" t="s">
        <v>50</v>
      </c>
      <c r="C86" s="131">
        <v>50.0</v>
      </c>
      <c r="D86" s="99" t="s">
        <v>40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B87" s="30" t="s">
        <v>120</v>
      </c>
      <c r="C87" s="131">
        <v>12.0</v>
      </c>
      <c r="D87" s="99" t="s">
        <v>40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B88" s="30" t="s">
        <v>343</v>
      </c>
      <c r="C88" s="131">
        <v>40.0</v>
      </c>
      <c r="D88" s="99" t="s">
        <v>40</v>
      </c>
      <c r="E88" s="4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B89" s="30" t="s">
        <v>370</v>
      </c>
      <c r="C89" s="131">
        <v>295.0</v>
      </c>
      <c r="D89" s="99" t="s">
        <v>40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98">
        <v>46131.0</v>
      </c>
      <c r="B90" s="30" t="s">
        <v>371</v>
      </c>
      <c r="C90" s="131">
        <v>211.0</v>
      </c>
      <c r="D90" s="99" t="s">
        <v>40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B91" s="30" t="s">
        <v>60</v>
      </c>
      <c r="C91" s="131">
        <v>140.0</v>
      </c>
      <c r="D91" s="99" t="s">
        <v>40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30" t="s">
        <v>139</v>
      </c>
      <c r="C92" s="131">
        <v>63.0</v>
      </c>
      <c r="D92" s="99" t="s">
        <v>40</v>
      </c>
      <c r="E92" s="4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B93" s="30" t="s">
        <v>52</v>
      </c>
      <c r="C93" s="131">
        <v>70.0</v>
      </c>
      <c r="D93" s="99" t="s">
        <v>40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B94" s="30" t="s">
        <v>91</v>
      </c>
      <c r="C94" s="131">
        <v>64.0</v>
      </c>
      <c r="D94" s="99" t="s">
        <v>40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B95" s="30" t="s">
        <v>37</v>
      </c>
      <c r="C95" s="131">
        <v>60.0</v>
      </c>
      <c r="D95" s="99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B96" s="30" t="s">
        <v>167</v>
      </c>
      <c r="C96" s="131">
        <v>20.0</v>
      </c>
      <c r="D96" s="99" t="s">
        <v>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B97" s="30" t="s">
        <v>286</v>
      </c>
      <c r="C97" s="131">
        <v>103.0</v>
      </c>
      <c r="D97" s="99" t="s">
        <v>40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98">
        <v>46132.0</v>
      </c>
      <c r="B98" s="30" t="s">
        <v>136</v>
      </c>
      <c r="C98" s="131">
        <v>18.0</v>
      </c>
      <c r="D98" s="99" t="s">
        <v>40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B99" s="30" t="s">
        <v>242</v>
      </c>
      <c r="C99" s="131">
        <v>10.0</v>
      </c>
      <c r="D99" s="99" t="s">
        <v>40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B100" s="30" t="s">
        <v>80</v>
      </c>
      <c r="C100" s="131">
        <v>110.0</v>
      </c>
      <c r="D100" s="99" t="s">
        <v>40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98">
        <v>46133.0</v>
      </c>
      <c r="B101" s="30" t="s">
        <v>136</v>
      </c>
      <c r="C101" s="131">
        <v>18.0</v>
      </c>
      <c r="D101" s="99" t="s">
        <v>40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B102" s="30" t="s">
        <v>357</v>
      </c>
      <c r="C102" s="131">
        <f>98-45</f>
        <v>53</v>
      </c>
      <c r="D102" s="99" t="s">
        <v>40</v>
      </c>
      <c r="E102" s="4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98">
        <v>46134.0</v>
      </c>
      <c r="B103" s="30" t="s">
        <v>200</v>
      </c>
      <c r="C103" s="131">
        <v>20.0</v>
      </c>
      <c r="D103" s="99" t="s">
        <v>40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B104" s="30" t="s">
        <v>356</v>
      </c>
      <c r="C104" s="131">
        <v>111.0</v>
      </c>
      <c r="D104" s="99" t="s">
        <v>40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B105" s="30" t="s">
        <v>372</v>
      </c>
      <c r="C105" s="131">
        <v>40.0</v>
      </c>
      <c r="D105" s="99" t="s">
        <v>40</v>
      </c>
      <c r="E105" s="4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B106" s="30" t="s">
        <v>258</v>
      </c>
      <c r="C106" s="131">
        <v>27.0</v>
      </c>
      <c r="D106" s="99" t="s">
        <v>40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B107" s="30" t="s">
        <v>41</v>
      </c>
      <c r="C107" s="131">
        <v>250.0</v>
      </c>
      <c r="D107" s="99" t="s">
        <v>101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98">
        <v>46135.0</v>
      </c>
      <c r="B108" s="30" t="s">
        <v>50</v>
      </c>
      <c r="C108" s="131">
        <v>27.0</v>
      </c>
      <c r="D108" s="99" t="s">
        <v>40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B109" s="30" t="s">
        <v>56</v>
      </c>
      <c r="C109" s="131">
        <v>16.0</v>
      </c>
      <c r="D109" s="99" t="s">
        <v>40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B110" s="30" t="s">
        <v>373</v>
      </c>
      <c r="C110" s="131">
        <v>2353.0</v>
      </c>
      <c r="D110" s="99" t="s">
        <v>374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B111" s="30" t="s">
        <v>375</v>
      </c>
      <c r="C111" s="131">
        <v>242.0</v>
      </c>
      <c r="D111" s="99" t="s">
        <v>40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30" t="s">
        <v>376</v>
      </c>
      <c r="C112" s="131">
        <v>80.0</v>
      </c>
      <c r="D112" s="99" t="s">
        <v>40</v>
      </c>
      <c r="E112" s="4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98">
        <v>46136.0</v>
      </c>
      <c r="B113" s="30" t="s">
        <v>340</v>
      </c>
      <c r="C113" s="131">
        <v>20.0</v>
      </c>
      <c r="D113" s="99" t="s">
        <v>40</v>
      </c>
      <c r="E113" s="4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B114" s="30" t="s">
        <v>91</v>
      </c>
      <c r="C114" s="131">
        <v>64.0</v>
      </c>
      <c r="D114" s="99" t="s">
        <v>40</v>
      </c>
      <c r="E114" s="4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B115" s="30" t="s">
        <v>41</v>
      </c>
      <c r="C115" s="131">
        <v>200.0</v>
      </c>
      <c r="D115" s="99" t="s">
        <v>40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B116" s="30" t="s">
        <v>286</v>
      </c>
      <c r="C116" s="131">
        <v>90.0</v>
      </c>
      <c r="D116" s="99" t="s">
        <v>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98">
        <v>46137.0</v>
      </c>
      <c r="B117" s="30" t="s">
        <v>56</v>
      </c>
      <c r="C117" s="131">
        <v>30.0</v>
      </c>
      <c r="D117" s="99" t="s">
        <v>40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98">
        <v>46138.0</v>
      </c>
      <c r="B118" s="30" t="s">
        <v>139</v>
      </c>
      <c r="C118" s="131">
        <v>53.0</v>
      </c>
      <c r="D118" s="99" t="s">
        <v>40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B119" s="30" t="s">
        <v>80</v>
      </c>
      <c r="C119" s="131">
        <v>96.0</v>
      </c>
      <c r="D119" s="99" t="s">
        <v>40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B120" s="30" t="s">
        <v>41</v>
      </c>
      <c r="C120" s="131">
        <v>500.0</v>
      </c>
      <c r="D120" s="99" t="s">
        <v>101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98">
        <v>46139.0</v>
      </c>
      <c r="B121" s="30" t="s">
        <v>39</v>
      </c>
      <c r="C121" s="131">
        <v>90.0</v>
      </c>
      <c r="D121" s="99" t="s">
        <v>40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B122" s="30" t="s">
        <v>377</v>
      </c>
      <c r="C122" s="131">
        <v>28.0</v>
      </c>
      <c r="D122" s="99" t="s">
        <v>40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98"/>
      <c r="B123" s="140"/>
      <c r="C123" s="131"/>
      <c r="D123" s="99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98"/>
      <c r="B124" s="140"/>
      <c r="C124" s="131"/>
      <c r="D124" s="99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98"/>
      <c r="B125" s="140"/>
      <c r="C125" s="131"/>
      <c r="D125" s="98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98"/>
      <c r="B126" s="140"/>
      <c r="C126" s="131"/>
      <c r="D126" s="98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98"/>
      <c r="B127" s="140"/>
      <c r="C127" s="131"/>
      <c r="D127" s="98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98"/>
      <c r="B128" s="140"/>
      <c r="C128" s="131"/>
      <c r="D128" s="98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98"/>
      <c r="B129" s="140"/>
      <c r="C129" s="131"/>
      <c r="D129" s="98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98"/>
      <c r="B130" s="140"/>
      <c r="C130" s="131"/>
      <c r="D130" s="9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98"/>
      <c r="B131" s="140"/>
      <c r="C131" s="131"/>
      <c r="D131" s="98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98"/>
      <c r="B132" s="140"/>
      <c r="C132" s="131"/>
      <c r="D132" s="98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98"/>
      <c r="B133" s="140"/>
      <c r="C133" s="131"/>
      <c r="D133" s="98"/>
      <c r="E133" s="41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33"/>
      <c r="B134" s="134"/>
      <c r="C134" s="131"/>
      <c r="D134" s="4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33"/>
      <c r="B135" s="134"/>
      <c r="C135" s="131"/>
      <c r="D135" s="4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33"/>
      <c r="B136" s="134"/>
      <c r="C136" s="131"/>
      <c r="D136" s="4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33"/>
      <c r="B137" s="134"/>
      <c r="C137" s="131"/>
      <c r="D137" s="4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33"/>
      <c r="B138" s="134"/>
      <c r="C138" s="131"/>
      <c r="D138" s="4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33"/>
      <c r="B139" s="134"/>
      <c r="C139" s="131"/>
      <c r="D139" s="4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33"/>
      <c r="B140" s="134"/>
      <c r="C140" s="131"/>
      <c r="D140" s="4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33"/>
      <c r="B141" s="134"/>
      <c r="C141" s="131"/>
      <c r="D141" s="4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33"/>
      <c r="B142" s="134"/>
      <c r="C142" s="131"/>
      <c r="D142" s="4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33"/>
      <c r="B143" s="134"/>
      <c r="C143" s="131"/>
      <c r="D143" s="4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33"/>
      <c r="B144" s="134"/>
      <c r="C144" s="131"/>
      <c r="D144" s="4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33"/>
      <c r="B145" s="134"/>
      <c r="C145" s="131"/>
      <c r="D145" s="4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33"/>
      <c r="B146" s="134"/>
      <c r="C146" s="131"/>
      <c r="D146" s="4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33"/>
      <c r="B147" s="134"/>
      <c r="C147" s="131"/>
      <c r="D147" s="4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40"/>
      <c r="C148" s="131"/>
      <c r="D148" s="4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40"/>
      <c r="C149" s="131"/>
      <c r="D149" s="4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40"/>
      <c r="C150" s="131"/>
      <c r="D150" s="4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40"/>
      <c r="C151" s="131"/>
      <c r="D151" s="4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40"/>
      <c r="C152" s="131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40"/>
      <c r="C153" s="131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40"/>
      <c r="C154" s="13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40"/>
      <c r="C155" s="131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40"/>
      <c r="C156" s="131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40"/>
      <c r="C157" s="131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40"/>
      <c r="C158" s="131"/>
      <c r="D158" s="4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40"/>
      <c r="C159" s="131"/>
      <c r="D159" s="4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40"/>
      <c r="C160" s="131"/>
      <c r="D160" s="4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40"/>
      <c r="C161" s="131"/>
      <c r="D161" s="4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40"/>
      <c r="C162" s="131"/>
      <c r="D162" s="4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40"/>
      <c r="C163" s="131"/>
      <c r="D163" s="4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40"/>
      <c r="C164" s="131"/>
      <c r="D164" s="4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40"/>
      <c r="C165" s="131"/>
      <c r="D165" s="4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40"/>
      <c r="C166" s="131"/>
      <c r="D166" s="4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40"/>
      <c r="C167" s="131"/>
      <c r="D167" s="4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40"/>
      <c r="C168" s="131"/>
      <c r="D168" s="4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40"/>
      <c r="C169" s="131"/>
      <c r="D169" s="4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40"/>
      <c r="C170" s="131"/>
      <c r="D170" s="4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40"/>
      <c r="C171" s="131"/>
      <c r="D171" s="4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40"/>
      <c r="C172" s="131"/>
      <c r="D172" s="4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40"/>
      <c r="C173" s="131"/>
      <c r="D173" s="4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40"/>
      <c r="C174" s="131"/>
      <c r="D174" s="4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40"/>
      <c r="C175" s="131"/>
      <c r="D175" s="4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40"/>
      <c r="C176" s="131"/>
      <c r="D176" s="4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40"/>
      <c r="C177" s="131"/>
      <c r="D177" s="4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40"/>
      <c r="C178" s="131"/>
      <c r="D178" s="4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40"/>
      <c r="C179" s="131"/>
      <c r="D179" s="4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40"/>
      <c r="C180" s="131"/>
      <c r="D180" s="4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40"/>
      <c r="C181" s="131"/>
      <c r="D181" s="4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40"/>
      <c r="C182" s="131"/>
      <c r="D182" s="4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40"/>
      <c r="C183" s="131"/>
      <c r="D183" s="4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40"/>
      <c r="C184" s="131"/>
      <c r="D184" s="4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40"/>
      <c r="C185" s="131"/>
      <c r="D185" s="4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40"/>
      <c r="C186" s="131"/>
      <c r="D186" s="4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40"/>
      <c r="C187" s="131"/>
      <c r="D187" s="4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40"/>
      <c r="C188" s="131"/>
      <c r="D188" s="4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40"/>
      <c r="C189" s="131"/>
      <c r="D189" s="4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40"/>
      <c r="C190" s="131"/>
      <c r="D190" s="4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40"/>
      <c r="C191" s="131"/>
      <c r="D191" s="4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40"/>
      <c r="C192" s="131"/>
      <c r="D192" s="4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40"/>
      <c r="C193" s="131"/>
      <c r="D193" s="4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40"/>
      <c r="C194" s="131"/>
      <c r="D194" s="4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40"/>
      <c r="C195" s="131"/>
      <c r="D195" s="4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40"/>
      <c r="C196" s="131"/>
      <c r="D196" s="4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40"/>
      <c r="C197" s="131"/>
      <c r="D197" s="4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40"/>
      <c r="C198" s="131"/>
      <c r="D198" s="4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40"/>
      <c r="C199" s="131"/>
      <c r="D199" s="4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40"/>
      <c r="C200" s="131"/>
      <c r="D200" s="4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40"/>
      <c r="C201" s="131"/>
      <c r="D201" s="4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40"/>
      <c r="C202" s="131"/>
      <c r="D202" s="4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40"/>
      <c r="C203" s="131"/>
      <c r="D203" s="4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40"/>
      <c r="C204" s="131"/>
      <c r="D204" s="4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40"/>
      <c r="C205" s="131"/>
      <c r="D205" s="4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40"/>
      <c r="C206" s="131"/>
      <c r="D206" s="4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40"/>
      <c r="C207" s="131"/>
      <c r="D207" s="4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40"/>
      <c r="C208" s="131"/>
      <c r="D208" s="4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40"/>
      <c r="C209" s="131"/>
      <c r="D209" s="4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40"/>
      <c r="C210" s="131"/>
      <c r="D210" s="4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40"/>
      <c r="C211" s="131"/>
      <c r="D211" s="4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40"/>
      <c r="C212" s="131"/>
      <c r="D212" s="4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40"/>
      <c r="C213" s="131"/>
      <c r="D213" s="4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40"/>
      <c r="C214" s="131"/>
      <c r="D214" s="4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40"/>
      <c r="C215" s="131"/>
      <c r="D215" s="4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40"/>
      <c r="C216" s="131"/>
      <c r="D216" s="4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40"/>
      <c r="C217" s="131"/>
      <c r="D217" s="4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40"/>
      <c r="C218" s="131"/>
      <c r="D218" s="4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40"/>
      <c r="C219" s="131"/>
      <c r="D219" s="4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40"/>
      <c r="C220" s="131"/>
      <c r="D220" s="4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40"/>
      <c r="C221" s="131"/>
      <c r="D221" s="4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40"/>
      <c r="C222" s="131"/>
      <c r="D222" s="4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40"/>
      <c r="C223" s="131"/>
      <c r="D223" s="4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40"/>
      <c r="C224" s="131"/>
      <c r="D224" s="4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40"/>
      <c r="C225" s="136"/>
      <c r="D225" s="4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40"/>
      <c r="C226" s="136"/>
      <c r="D226" s="4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40"/>
      <c r="C227" s="136"/>
      <c r="D227" s="4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40"/>
      <c r="C228" s="136"/>
      <c r="D228" s="4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40"/>
      <c r="C229" s="136"/>
      <c r="D229" s="4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40"/>
      <c r="C230" s="136"/>
      <c r="D230" s="4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40"/>
      <c r="C231" s="136"/>
      <c r="D231" s="4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40"/>
      <c r="C232" s="136"/>
      <c r="D232" s="4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40"/>
      <c r="C233" s="136"/>
      <c r="D233" s="4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40"/>
      <c r="C234" s="136"/>
      <c r="D234" s="4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40"/>
      <c r="C235" s="136"/>
      <c r="D235" s="4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40"/>
      <c r="C236" s="136"/>
      <c r="D236" s="4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40"/>
      <c r="C237" s="136"/>
      <c r="D237" s="4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40"/>
      <c r="C238" s="136"/>
      <c r="D238" s="4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40"/>
      <c r="C239" s="136"/>
      <c r="D239" s="4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40"/>
      <c r="C240" s="136"/>
      <c r="D240" s="4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40"/>
      <c r="C241" s="136"/>
      <c r="D241" s="4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40"/>
      <c r="C242" s="136"/>
      <c r="D242" s="4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40"/>
      <c r="C243" s="136"/>
      <c r="D243" s="4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40"/>
      <c r="C244" s="136"/>
      <c r="D244" s="4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40"/>
      <c r="C245" s="136"/>
      <c r="D245" s="4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40"/>
      <c r="C246" s="136"/>
      <c r="D246" s="4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40"/>
      <c r="C247" s="136"/>
      <c r="D247" s="4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40"/>
      <c r="C248" s="136"/>
      <c r="D248" s="4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40"/>
      <c r="C249" s="136"/>
      <c r="D249" s="4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40"/>
      <c r="C250" s="136"/>
      <c r="D250" s="4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40"/>
      <c r="C251" s="136"/>
      <c r="D251" s="4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40"/>
      <c r="C252" s="136"/>
      <c r="D252" s="4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40"/>
      <c r="C253" s="136"/>
      <c r="D253" s="4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40"/>
      <c r="C254" s="136"/>
      <c r="D254" s="4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40"/>
      <c r="C255" s="136"/>
      <c r="D255" s="4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40"/>
      <c r="C256" s="136"/>
      <c r="D256" s="4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40"/>
      <c r="C257" s="136"/>
      <c r="D257" s="4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40"/>
      <c r="C258" s="136"/>
      <c r="D258" s="4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40"/>
      <c r="C259" s="136"/>
      <c r="D259" s="4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40"/>
      <c r="C260" s="136"/>
      <c r="D260" s="4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40"/>
      <c r="C261" s="136"/>
      <c r="D261" s="4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40"/>
      <c r="C262" s="136"/>
      <c r="D262" s="4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40"/>
      <c r="C263" s="136"/>
      <c r="D263" s="4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40"/>
      <c r="C264" s="136"/>
      <c r="D264" s="4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40"/>
      <c r="C265" s="136"/>
      <c r="D265" s="4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40"/>
      <c r="C266" s="136"/>
      <c r="D266" s="4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40"/>
      <c r="C267" s="136"/>
      <c r="D267" s="4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40"/>
      <c r="C268" s="136"/>
      <c r="D268" s="4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40"/>
      <c r="C269" s="136"/>
      <c r="D269" s="4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40"/>
      <c r="C270" s="136"/>
      <c r="D270" s="4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40"/>
      <c r="C271" s="136"/>
      <c r="D271" s="4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40"/>
      <c r="C272" s="136"/>
      <c r="D272" s="4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40"/>
      <c r="C273" s="136"/>
      <c r="D273" s="4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40"/>
      <c r="C274" s="136"/>
      <c r="D274" s="4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40"/>
      <c r="C275" s="136"/>
      <c r="D275" s="4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40"/>
      <c r="C276" s="136"/>
      <c r="D276" s="4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40"/>
      <c r="C277" s="136"/>
      <c r="D277" s="4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40"/>
      <c r="C278" s="136"/>
      <c r="D278" s="4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40"/>
      <c r="C279" s="136"/>
      <c r="D279" s="4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40"/>
      <c r="C280" s="136"/>
      <c r="D280" s="4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40"/>
      <c r="C281" s="136"/>
      <c r="D281" s="4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40"/>
      <c r="C282" s="136"/>
      <c r="D282" s="4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40"/>
      <c r="C283" s="136"/>
      <c r="D283" s="4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40"/>
      <c r="C284" s="136"/>
      <c r="D284" s="4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40"/>
      <c r="C285" s="136"/>
      <c r="D285" s="4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40"/>
      <c r="C286" s="136"/>
      <c r="D286" s="4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40"/>
      <c r="C287" s="136"/>
      <c r="D287" s="4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40"/>
      <c r="C288" s="136"/>
      <c r="D288" s="4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40"/>
      <c r="C289" s="136"/>
      <c r="D289" s="4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40"/>
      <c r="C290" s="136"/>
      <c r="D290" s="4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40"/>
      <c r="C291" s="136"/>
      <c r="D291" s="4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40"/>
      <c r="C292" s="136"/>
      <c r="D292" s="4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40"/>
      <c r="C293" s="136"/>
      <c r="D293" s="4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40"/>
      <c r="C294" s="136"/>
      <c r="D294" s="4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40"/>
      <c r="C295" s="136"/>
      <c r="D295" s="4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40"/>
      <c r="C296" s="136"/>
      <c r="D296" s="4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40"/>
      <c r="C297" s="136"/>
      <c r="D297" s="4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40"/>
      <c r="C298" s="136"/>
      <c r="D298" s="4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40"/>
      <c r="C299" s="136"/>
      <c r="D299" s="4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40"/>
      <c r="C300" s="136"/>
      <c r="D300" s="4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40"/>
      <c r="C301" s="136"/>
      <c r="D301" s="4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40"/>
      <c r="C302" s="136"/>
      <c r="D302" s="4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40"/>
      <c r="C303" s="136"/>
      <c r="D303" s="4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40"/>
      <c r="C304" s="136"/>
      <c r="D304" s="4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40"/>
      <c r="C305" s="136"/>
      <c r="D305" s="4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40"/>
      <c r="C306" s="136"/>
      <c r="D306" s="4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40"/>
      <c r="C307" s="136"/>
      <c r="D307" s="4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40"/>
      <c r="C308" s="136"/>
      <c r="D308" s="4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40"/>
      <c r="C309" s="136"/>
      <c r="D309" s="4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40"/>
      <c r="C310" s="136"/>
      <c r="D310" s="4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40"/>
      <c r="C311" s="136"/>
      <c r="D311" s="4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40"/>
      <c r="C312" s="136"/>
      <c r="D312" s="4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40"/>
      <c r="C313" s="136"/>
      <c r="D313" s="4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40"/>
      <c r="C314" s="136"/>
      <c r="D314" s="4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40"/>
      <c r="C315" s="136"/>
      <c r="D315" s="4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40"/>
      <c r="C316" s="136"/>
      <c r="D316" s="4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40"/>
      <c r="C317" s="136"/>
      <c r="D317" s="4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40"/>
      <c r="C318" s="136"/>
      <c r="D318" s="4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40"/>
      <c r="C319" s="136"/>
      <c r="D319" s="4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40"/>
      <c r="C320" s="136"/>
      <c r="D320" s="4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40"/>
      <c r="C321" s="136"/>
      <c r="D321" s="4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40"/>
      <c r="C322" s="136"/>
      <c r="D322" s="4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40"/>
      <c r="C323" s="136"/>
      <c r="D323" s="4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40"/>
      <c r="C324" s="136"/>
      <c r="D324" s="4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40"/>
      <c r="C325" s="136"/>
      <c r="D325" s="4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40"/>
      <c r="C326" s="136"/>
      <c r="D326" s="4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40"/>
      <c r="C327" s="136"/>
      <c r="D327" s="4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40"/>
      <c r="C328" s="136"/>
      <c r="D328" s="4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40"/>
      <c r="C329" s="136"/>
      <c r="D329" s="4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40"/>
      <c r="C330" s="136"/>
      <c r="D330" s="4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40"/>
      <c r="C331" s="136"/>
      <c r="D331" s="4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40"/>
      <c r="C332" s="136"/>
      <c r="D332" s="4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40"/>
      <c r="C333" s="136"/>
      <c r="D333" s="4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40"/>
      <c r="C334" s="136"/>
      <c r="D334" s="4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40"/>
      <c r="C335" s="136"/>
      <c r="D335" s="4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40"/>
      <c r="C336" s="136"/>
      <c r="D336" s="4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40"/>
      <c r="C337" s="136"/>
      <c r="D337" s="4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40"/>
      <c r="C338" s="136"/>
      <c r="D338" s="4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40"/>
      <c r="C339" s="136"/>
      <c r="D339" s="4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40"/>
      <c r="C340" s="136"/>
      <c r="D340" s="4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40"/>
      <c r="C341" s="136"/>
      <c r="D341" s="4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40"/>
      <c r="C342" s="136"/>
      <c r="D342" s="4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40"/>
      <c r="C343" s="136"/>
      <c r="D343" s="4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40"/>
      <c r="C344" s="136"/>
      <c r="D344" s="4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40"/>
      <c r="C345" s="136"/>
      <c r="D345" s="4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40"/>
      <c r="C346" s="136"/>
      <c r="D346" s="4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40"/>
      <c r="C347" s="136"/>
      <c r="D347" s="4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40"/>
      <c r="C348" s="136"/>
      <c r="D348" s="4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40"/>
      <c r="C349" s="136"/>
      <c r="D349" s="4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40"/>
      <c r="C350" s="136"/>
      <c r="D350" s="4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40"/>
      <c r="C351" s="136"/>
      <c r="D351" s="4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40"/>
      <c r="C352" s="136"/>
      <c r="D352" s="4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40"/>
      <c r="C353" s="136"/>
      <c r="D353" s="4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40"/>
      <c r="C354" s="136"/>
      <c r="D354" s="4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40"/>
      <c r="C355" s="136"/>
      <c r="D355" s="4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40"/>
      <c r="C356" s="136"/>
      <c r="D356" s="4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40"/>
      <c r="C357" s="136"/>
      <c r="D357" s="4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40"/>
      <c r="C358" s="136"/>
      <c r="D358" s="4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40"/>
      <c r="C359" s="136"/>
      <c r="D359" s="4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40"/>
      <c r="C360" s="136"/>
      <c r="D360" s="4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40"/>
      <c r="C361" s="136"/>
      <c r="D361" s="4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40"/>
      <c r="C362" s="136"/>
      <c r="D362" s="4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40"/>
      <c r="C363" s="136"/>
      <c r="D363" s="4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40"/>
      <c r="C364" s="136"/>
      <c r="D364" s="4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40"/>
      <c r="C365" s="136"/>
      <c r="D365" s="4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40"/>
      <c r="C366" s="136"/>
      <c r="D366" s="4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40"/>
      <c r="C367" s="136"/>
      <c r="D367" s="4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40"/>
      <c r="C368" s="136"/>
      <c r="D368" s="4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40"/>
      <c r="C369" s="136"/>
      <c r="D369" s="4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40"/>
      <c r="C370" s="136"/>
      <c r="D370" s="4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40"/>
      <c r="C371" s="136"/>
      <c r="D371" s="4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40"/>
      <c r="C372" s="136"/>
      <c r="D372" s="4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40"/>
      <c r="C373" s="136"/>
      <c r="D373" s="4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40"/>
      <c r="C374" s="136"/>
      <c r="D374" s="4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40"/>
      <c r="C375" s="136"/>
      <c r="D375" s="4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40"/>
      <c r="C376" s="136"/>
      <c r="D376" s="4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40"/>
      <c r="C377" s="136"/>
      <c r="D377" s="4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40"/>
      <c r="C378" s="136"/>
      <c r="D378" s="4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40"/>
      <c r="C379" s="136"/>
      <c r="D379" s="4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40"/>
      <c r="C380" s="136"/>
      <c r="D380" s="4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40"/>
      <c r="C381" s="136"/>
      <c r="D381" s="4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40"/>
      <c r="C382" s="136"/>
      <c r="D382" s="4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40"/>
      <c r="C383" s="136"/>
      <c r="D383" s="4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40"/>
      <c r="C384" s="136"/>
      <c r="D384" s="4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40"/>
      <c r="C385" s="136"/>
      <c r="D385" s="4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40"/>
      <c r="C386" s="136"/>
      <c r="D386" s="4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40"/>
      <c r="C387" s="136"/>
      <c r="D387" s="4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40"/>
      <c r="C388" s="136"/>
      <c r="D388" s="4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40"/>
      <c r="C389" s="136"/>
      <c r="D389" s="4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40"/>
      <c r="C390" s="136"/>
      <c r="D390" s="4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40"/>
      <c r="C391" s="136"/>
      <c r="D391" s="4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40"/>
      <c r="C392" s="136"/>
      <c r="D392" s="4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40"/>
      <c r="C393" s="136"/>
      <c r="D393" s="4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40"/>
      <c r="C394" s="136"/>
      <c r="D394" s="4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40"/>
      <c r="C395" s="136"/>
      <c r="D395" s="4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40"/>
      <c r="C396" s="136"/>
      <c r="D396" s="4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40"/>
      <c r="C397" s="136"/>
      <c r="D397" s="4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40"/>
      <c r="C398" s="136"/>
      <c r="D398" s="4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40"/>
      <c r="C399" s="136"/>
      <c r="D399" s="4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40"/>
      <c r="C400" s="136"/>
      <c r="D400" s="4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40"/>
      <c r="C401" s="136"/>
      <c r="D401" s="4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40"/>
      <c r="C402" s="136"/>
      <c r="D402" s="4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40"/>
      <c r="C403" s="136"/>
      <c r="D403" s="4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40"/>
      <c r="C404" s="136"/>
      <c r="D404" s="4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40"/>
      <c r="C405" s="136"/>
      <c r="D405" s="4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40"/>
      <c r="C406" s="136"/>
      <c r="D406" s="4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40"/>
      <c r="C407" s="136"/>
      <c r="D407" s="4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40"/>
      <c r="C408" s="136"/>
      <c r="D408" s="4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40"/>
      <c r="C409" s="136"/>
      <c r="D409" s="4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40"/>
      <c r="C410" s="136"/>
      <c r="D410" s="4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40"/>
      <c r="C411" s="136"/>
      <c r="D411" s="4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40"/>
      <c r="C412" s="136"/>
      <c r="D412" s="4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40"/>
      <c r="C413" s="136"/>
      <c r="D413" s="4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40"/>
      <c r="C414" s="136"/>
      <c r="D414" s="4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40"/>
      <c r="C415" s="136"/>
      <c r="D415" s="4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40"/>
      <c r="C416" s="136"/>
      <c r="D416" s="4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40"/>
      <c r="C417" s="136"/>
      <c r="D417" s="4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40"/>
      <c r="C418" s="136"/>
      <c r="D418" s="4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40"/>
      <c r="C419" s="136"/>
      <c r="D419" s="4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40"/>
      <c r="C420" s="136"/>
      <c r="D420" s="4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40"/>
      <c r="C421" s="136"/>
      <c r="D421" s="4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40"/>
      <c r="C422" s="136"/>
      <c r="D422" s="4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40"/>
      <c r="C423" s="136"/>
      <c r="D423" s="4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40"/>
      <c r="C424" s="136"/>
      <c r="D424" s="4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40"/>
      <c r="C425" s="136"/>
      <c r="D425" s="4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40"/>
      <c r="C426" s="136"/>
      <c r="D426" s="4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40"/>
      <c r="C427" s="136"/>
      <c r="D427" s="4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40"/>
      <c r="C428" s="136"/>
      <c r="D428" s="4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40"/>
      <c r="C429" s="136"/>
      <c r="D429" s="4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40"/>
      <c r="C430" s="136"/>
      <c r="D430" s="4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40"/>
      <c r="C431" s="136"/>
      <c r="D431" s="4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40"/>
      <c r="C432" s="136"/>
      <c r="D432" s="4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40"/>
      <c r="C433" s="136"/>
      <c r="D433" s="4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40"/>
      <c r="C434" s="136"/>
      <c r="D434" s="4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40"/>
      <c r="C435" s="136"/>
      <c r="D435" s="4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40"/>
      <c r="C436" s="136"/>
      <c r="D436" s="4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40"/>
      <c r="C437" s="136"/>
      <c r="D437" s="4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40"/>
      <c r="C438" s="136"/>
      <c r="D438" s="4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40"/>
      <c r="C439" s="136"/>
      <c r="D439" s="4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40"/>
      <c r="C440" s="136"/>
      <c r="D440" s="4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40"/>
      <c r="C441" s="136"/>
      <c r="D441" s="4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40"/>
      <c r="C442" s="136"/>
      <c r="D442" s="4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40"/>
      <c r="C443" s="136"/>
      <c r="D443" s="4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40"/>
      <c r="C444" s="136"/>
      <c r="D444" s="4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40"/>
      <c r="C445" s="136"/>
      <c r="D445" s="4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40"/>
      <c r="C446" s="136"/>
      <c r="D446" s="4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40"/>
      <c r="C447" s="136"/>
      <c r="D447" s="4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40"/>
      <c r="C448" s="136"/>
      <c r="D448" s="4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40"/>
      <c r="C449" s="136"/>
      <c r="D449" s="4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40"/>
      <c r="C450" s="136"/>
      <c r="D450" s="4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40"/>
      <c r="C451" s="136"/>
      <c r="D451" s="4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40"/>
      <c r="C452" s="136"/>
      <c r="D452" s="4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40"/>
      <c r="C453" s="136"/>
      <c r="D453" s="4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40"/>
      <c r="C454" s="136"/>
      <c r="D454" s="4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40"/>
      <c r="C455" s="136"/>
      <c r="D455" s="4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40"/>
      <c r="C456" s="136"/>
      <c r="D456" s="4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40"/>
      <c r="C457" s="136"/>
      <c r="D457" s="4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40"/>
      <c r="C458" s="136"/>
      <c r="D458" s="4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40"/>
      <c r="C459" s="136"/>
      <c r="D459" s="4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40"/>
      <c r="C460" s="136"/>
      <c r="D460" s="4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40"/>
      <c r="C461" s="136"/>
      <c r="D461" s="4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40"/>
      <c r="C462" s="136"/>
      <c r="D462" s="4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40"/>
      <c r="C463" s="136"/>
      <c r="D463" s="4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40"/>
      <c r="C464" s="136"/>
      <c r="D464" s="4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40"/>
      <c r="C465" s="136"/>
      <c r="D465" s="4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40"/>
      <c r="C466" s="136"/>
      <c r="D466" s="4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40"/>
      <c r="C467" s="136"/>
      <c r="D467" s="4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40"/>
      <c r="C468" s="136"/>
      <c r="D468" s="4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40"/>
      <c r="C469" s="136"/>
      <c r="D469" s="4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40"/>
      <c r="C470" s="136"/>
      <c r="D470" s="4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40"/>
      <c r="C471" s="136"/>
      <c r="D471" s="4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40"/>
      <c r="C472" s="136"/>
      <c r="D472" s="4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40"/>
      <c r="C473" s="136"/>
      <c r="D473" s="4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40"/>
      <c r="C474" s="136"/>
      <c r="D474" s="4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40"/>
      <c r="C475" s="136"/>
      <c r="D475" s="4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40"/>
      <c r="C476" s="136"/>
      <c r="D476" s="4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40"/>
      <c r="C477" s="136"/>
      <c r="D477" s="4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40"/>
      <c r="C478" s="136"/>
      <c r="D478" s="4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40"/>
      <c r="C479" s="136"/>
      <c r="D479" s="4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40"/>
      <c r="C480" s="136"/>
      <c r="D480" s="4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40"/>
      <c r="C481" s="136"/>
      <c r="D481" s="4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40"/>
      <c r="C482" s="136"/>
      <c r="D482" s="4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40"/>
      <c r="C483" s="136"/>
      <c r="D483" s="4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40"/>
      <c r="C484" s="136"/>
      <c r="D484" s="4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40"/>
      <c r="C485" s="136"/>
      <c r="D485" s="4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40"/>
      <c r="C486" s="136"/>
      <c r="D486" s="4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40"/>
      <c r="C487" s="136"/>
      <c r="D487" s="4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40"/>
      <c r="C488" s="136"/>
      <c r="D488" s="4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40"/>
      <c r="C489" s="136"/>
      <c r="D489" s="4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40"/>
      <c r="C490" s="136"/>
      <c r="D490" s="4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40"/>
      <c r="C491" s="136"/>
      <c r="D491" s="4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40"/>
      <c r="C492" s="136"/>
      <c r="D492" s="4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40"/>
      <c r="C493" s="136"/>
      <c r="D493" s="4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40"/>
      <c r="C494" s="136"/>
      <c r="D494" s="4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40"/>
      <c r="C495" s="136"/>
      <c r="D495" s="4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40"/>
      <c r="C496" s="136"/>
      <c r="D496" s="4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40"/>
      <c r="C497" s="136"/>
      <c r="D497" s="4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40"/>
      <c r="C498" s="136"/>
      <c r="D498" s="4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40"/>
      <c r="C499" s="136"/>
      <c r="D499" s="4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40"/>
      <c r="C500" s="136"/>
      <c r="D500" s="4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40"/>
      <c r="C501" s="136"/>
      <c r="D501" s="4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40"/>
      <c r="C502" s="136"/>
      <c r="D502" s="4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40"/>
      <c r="C503" s="136"/>
      <c r="D503" s="4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40"/>
      <c r="C504" s="136"/>
      <c r="D504" s="4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40"/>
      <c r="C505" s="136"/>
      <c r="D505" s="4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40"/>
      <c r="C506" s="136"/>
      <c r="D506" s="4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40"/>
      <c r="C507" s="136"/>
      <c r="D507" s="4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40"/>
      <c r="C508" s="136"/>
      <c r="D508" s="4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40"/>
      <c r="C509" s="136"/>
      <c r="D509" s="4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40"/>
      <c r="C510" s="136"/>
      <c r="D510" s="4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40"/>
      <c r="C511" s="136"/>
      <c r="D511" s="4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40"/>
      <c r="C512" s="136"/>
      <c r="D512" s="4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40"/>
      <c r="C513" s="136"/>
      <c r="D513" s="4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40"/>
      <c r="C514" s="136"/>
      <c r="D514" s="4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40"/>
      <c r="C515" s="136"/>
      <c r="D515" s="4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40"/>
      <c r="C516" s="136"/>
      <c r="D516" s="4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40"/>
      <c r="C517" s="136"/>
      <c r="D517" s="4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40"/>
      <c r="C518" s="136"/>
      <c r="D518" s="4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40"/>
      <c r="C519" s="136"/>
      <c r="D519" s="4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40"/>
      <c r="C520" s="136"/>
      <c r="D520" s="4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40"/>
      <c r="C521" s="136"/>
      <c r="D521" s="4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40"/>
      <c r="C522" s="136"/>
      <c r="D522" s="4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40"/>
      <c r="C523" s="136"/>
      <c r="D523" s="4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40"/>
      <c r="C524" s="136"/>
      <c r="D524" s="4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40"/>
      <c r="C525" s="136"/>
      <c r="D525" s="4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40"/>
      <c r="C526" s="136"/>
      <c r="D526" s="4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40"/>
      <c r="C527" s="136"/>
      <c r="D527" s="4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40"/>
      <c r="C528" s="136"/>
      <c r="D528" s="4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40"/>
      <c r="C529" s="136"/>
      <c r="D529" s="4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40"/>
      <c r="C530" s="136"/>
      <c r="D530" s="4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40"/>
      <c r="C531" s="136"/>
      <c r="D531" s="4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40"/>
      <c r="C532" s="136"/>
      <c r="D532" s="4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40"/>
      <c r="C533" s="136"/>
      <c r="D533" s="4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40"/>
      <c r="C534" s="136"/>
      <c r="D534" s="4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40"/>
      <c r="C535" s="136"/>
      <c r="D535" s="4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40"/>
      <c r="C536" s="136"/>
      <c r="D536" s="4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40"/>
      <c r="C537" s="136"/>
      <c r="D537" s="4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40"/>
      <c r="C538" s="136"/>
      <c r="D538" s="4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40"/>
      <c r="C539" s="136"/>
      <c r="D539" s="4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40"/>
      <c r="C540" s="136"/>
      <c r="D540" s="4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40"/>
      <c r="C541" s="136"/>
      <c r="D541" s="4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40"/>
      <c r="C542" s="136"/>
      <c r="D542" s="4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40"/>
      <c r="C543" s="136"/>
      <c r="D543" s="4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40"/>
      <c r="C544" s="136"/>
      <c r="D544" s="4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40"/>
      <c r="C545" s="136"/>
      <c r="D545" s="4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40"/>
      <c r="C546" s="136"/>
      <c r="D546" s="4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40"/>
      <c r="C547" s="136"/>
      <c r="D547" s="4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40"/>
      <c r="C548" s="136"/>
      <c r="D548" s="4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40"/>
      <c r="C549" s="136"/>
      <c r="D549" s="4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40"/>
      <c r="C550" s="136"/>
      <c r="D550" s="4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40"/>
      <c r="C551" s="136"/>
      <c r="D551" s="4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40"/>
      <c r="C552" s="136"/>
      <c r="D552" s="4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40"/>
      <c r="C553" s="136"/>
      <c r="D553" s="4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40"/>
      <c r="C554" s="136"/>
      <c r="D554" s="4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40"/>
      <c r="C555" s="136"/>
      <c r="D555" s="4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40"/>
      <c r="C556" s="136"/>
      <c r="D556" s="4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40"/>
      <c r="C557" s="136"/>
      <c r="D557" s="4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40"/>
      <c r="C558" s="136"/>
      <c r="D558" s="4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40"/>
      <c r="C559" s="136"/>
      <c r="D559" s="4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40"/>
      <c r="C560" s="136"/>
      <c r="D560" s="4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40"/>
      <c r="C561" s="136"/>
      <c r="D561" s="4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40"/>
      <c r="C562" s="136"/>
      <c r="D562" s="4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40"/>
      <c r="C563" s="136"/>
      <c r="D563" s="4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40"/>
      <c r="C564" s="136"/>
      <c r="D564" s="4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40"/>
      <c r="C565" s="136"/>
      <c r="D565" s="4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40"/>
      <c r="C566" s="136"/>
      <c r="D566" s="4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40"/>
      <c r="C567" s="136"/>
      <c r="D567" s="4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40"/>
      <c r="C568" s="136"/>
      <c r="D568" s="4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40"/>
      <c r="C569" s="136"/>
      <c r="D569" s="4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40"/>
      <c r="C570" s="136"/>
      <c r="D570" s="4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40"/>
      <c r="C571" s="136"/>
      <c r="D571" s="4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40"/>
      <c r="C572" s="136"/>
      <c r="D572" s="4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40"/>
      <c r="C573" s="136"/>
      <c r="D573" s="4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40"/>
      <c r="C574" s="136"/>
      <c r="D574" s="4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40"/>
      <c r="C575" s="136"/>
      <c r="D575" s="4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40"/>
      <c r="C576" s="136"/>
      <c r="D576" s="4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40"/>
      <c r="C577" s="136"/>
      <c r="D577" s="4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40"/>
      <c r="C578" s="136"/>
      <c r="D578" s="4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40"/>
      <c r="C579" s="136"/>
      <c r="D579" s="4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40"/>
      <c r="C580" s="136"/>
      <c r="D580" s="4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40"/>
      <c r="C581" s="136"/>
      <c r="D581" s="4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40"/>
      <c r="C582" s="136"/>
      <c r="D582" s="4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40"/>
      <c r="C583" s="136"/>
      <c r="D583" s="4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40"/>
      <c r="C584" s="136"/>
      <c r="D584" s="4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40"/>
      <c r="C585" s="136"/>
      <c r="D585" s="4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40"/>
      <c r="C586" s="136"/>
      <c r="D586" s="4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40"/>
      <c r="C587" s="136"/>
      <c r="D587" s="4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40"/>
      <c r="C588" s="136"/>
      <c r="D588" s="4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40"/>
      <c r="C589" s="136"/>
      <c r="D589" s="4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40"/>
      <c r="C590" s="136"/>
      <c r="D590" s="4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40"/>
      <c r="C591" s="136"/>
      <c r="D591" s="4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40"/>
      <c r="C592" s="136"/>
      <c r="D592" s="4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40"/>
      <c r="C593" s="136"/>
      <c r="D593" s="4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40"/>
      <c r="C594" s="136"/>
      <c r="D594" s="4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40"/>
      <c r="C595" s="136"/>
      <c r="D595" s="4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40"/>
      <c r="C596" s="136"/>
      <c r="D596" s="4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40"/>
      <c r="C597" s="136"/>
      <c r="D597" s="4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40"/>
      <c r="C598" s="136"/>
      <c r="D598" s="4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40"/>
      <c r="C599" s="136"/>
      <c r="D599" s="4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40"/>
      <c r="C600" s="136"/>
      <c r="D600" s="4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40"/>
      <c r="C601" s="136"/>
      <c r="D601" s="4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40"/>
      <c r="C602" s="136"/>
      <c r="D602" s="4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40"/>
      <c r="C603" s="136"/>
      <c r="D603" s="4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40"/>
      <c r="C604" s="136"/>
      <c r="D604" s="4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40"/>
      <c r="C605" s="136"/>
      <c r="D605" s="4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40"/>
      <c r="C606" s="136"/>
      <c r="D606" s="4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40"/>
      <c r="C607" s="136"/>
      <c r="D607" s="4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40"/>
      <c r="C608" s="136"/>
      <c r="D608" s="4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40"/>
      <c r="C609" s="136"/>
      <c r="D609" s="4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40"/>
      <c r="C610" s="136"/>
      <c r="D610" s="4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40"/>
      <c r="C611" s="136"/>
      <c r="D611" s="4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40"/>
      <c r="C612" s="136"/>
      <c r="D612" s="4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40"/>
      <c r="C613" s="136"/>
      <c r="D613" s="4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40"/>
      <c r="C614" s="136"/>
      <c r="D614" s="4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40"/>
      <c r="C615" s="136"/>
      <c r="D615" s="4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40"/>
      <c r="C616" s="136"/>
      <c r="D616" s="4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40"/>
      <c r="C617" s="136"/>
      <c r="D617" s="4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40"/>
      <c r="C618" s="136"/>
      <c r="D618" s="4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40"/>
      <c r="C619" s="136"/>
      <c r="D619" s="4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40"/>
      <c r="C620" s="136"/>
      <c r="D620" s="4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40"/>
      <c r="C621" s="136"/>
      <c r="D621" s="4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40"/>
      <c r="C622" s="136"/>
      <c r="D622" s="4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40"/>
      <c r="C623" s="136"/>
      <c r="D623" s="4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40"/>
      <c r="C624" s="136"/>
      <c r="D624" s="4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40"/>
      <c r="C625" s="136"/>
      <c r="D625" s="4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40"/>
      <c r="C626" s="136"/>
      <c r="D626" s="4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40"/>
      <c r="C627" s="136"/>
      <c r="D627" s="4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40"/>
      <c r="C628" s="136"/>
      <c r="D628" s="4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40"/>
      <c r="C629" s="136"/>
      <c r="D629" s="4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40"/>
      <c r="C630" s="136"/>
      <c r="D630" s="4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40"/>
      <c r="C631" s="136"/>
      <c r="D631" s="4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40"/>
      <c r="C632" s="136"/>
      <c r="D632" s="4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40"/>
      <c r="C633" s="136"/>
      <c r="D633" s="4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40"/>
      <c r="C634" s="136"/>
      <c r="D634" s="4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40"/>
      <c r="C635" s="136"/>
      <c r="D635" s="4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40"/>
      <c r="C636" s="136"/>
      <c r="D636" s="4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40"/>
      <c r="C637" s="136"/>
      <c r="D637" s="4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40"/>
      <c r="C638" s="136"/>
      <c r="D638" s="4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40"/>
      <c r="C639" s="136"/>
      <c r="D639" s="4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40"/>
      <c r="C640" s="136"/>
      <c r="D640" s="4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40"/>
      <c r="C641" s="136"/>
      <c r="D641" s="4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40"/>
      <c r="C642" s="136"/>
      <c r="D642" s="4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40"/>
      <c r="C643" s="136"/>
      <c r="D643" s="4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40"/>
      <c r="C644" s="136"/>
      <c r="D644" s="4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40"/>
      <c r="C645" s="136"/>
      <c r="D645" s="4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40"/>
      <c r="C646" s="136"/>
      <c r="D646" s="4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40"/>
      <c r="C647" s="136"/>
      <c r="D647" s="4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40"/>
      <c r="C648" s="136"/>
      <c r="D648" s="4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40"/>
      <c r="C649" s="136"/>
      <c r="D649" s="4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40"/>
      <c r="C650" s="136"/>
      <c r="D650" s="4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40"/>
      <c r="C651" s="136"/>
      <c r="D651" s="4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40"/>
      <c r="C652" s="136"/>
      <c r="D652" s="4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40"/>
      <c r="C653" s="136"/>
      <c r="D653" s="4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40"/>
      <c r="C654" s="136"/>
      <c r="D654" s="4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40"/>
      <c r="C655" s="136"/>
      <c r="D655" s="4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40"/>
      <c r="C656" s="136"/>
      <c r="D656" s="4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40"/>
      <c r="C657" s="136"/>
      <c r="D657" s="4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40"/>
      <c r="C658" s="136"/>
      <c r="D658" s="4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40"/>
      <c r="C659" s="136"/>
      <c r="D659" s="4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40"/>
      <c r="C660" s="136"/>
      <c r="D660" s="4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40"/>
      <c r="C661" s="136"/>
      <c r="D661" s="4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40"/>
      <c r="C662" s="136"/>
      <c r="D662" s="4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40"/>
      <c r="C663" s="136"/>
      <c r="D663" s="4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40"/>
      <c r="C664" s="136"/>
      <c r="D664" s="4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40"/>
      <c r="C665" s="136"/>
      <c r="D665" s="4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40"/>
      <c r="C666" s="136"/>
      <c r="D666" s="4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40"/>
      <c r="C667" s="136"/>
      <c r="D667" s="4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40"/>
      <c r="C668" s="136"/>
      <c r="D668" s="4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40"/>
      <c r="C669" s="136"/>
      <c r="D669" s="4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40"/>
      <c r="C670" s="136"/>
      <c r="D670" s="4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40"/>
      <c r="C671" s="136"/>
      <c r="D671" s="4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40"/>
      <c r="C672" s="136"/>
      <c r="D672" s="4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40"/>
      <c r="C673" s="136"/>
      <c r="D673" s="4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40"/>
      <c r="C674" s="136"/>
      <c r="D674" s="4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40"/>
      <c r="C675" s="136"/>
      <c r="D675" s="4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40"/>
      <c r="C676" s="136"/>
      <c r="D676" s="4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40"/>
      <c r="C677" s="136"/>
      <c r="D677" s="4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40"/>
      <c r="C678" s="136"/>
      <c r="D678" s="4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40"/>
      <c r="C679" s="136"/>
      <c r="D679" s="4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40"/>
      <c r="C680" s="136"/>
      <c r="D680" s="4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40"/>
      <c r="C681" s="136"/>
      <c r="D681" s="4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40"/>
      <c r="C682" s="136"/>
      <c r="D682" s="4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40"/>
      <c r="C683" s="136"/>
      <c r="D683" s="4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40"/>
      <c r="C684" s="136"/>
      <c r="D684" s="4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40"/>
      <c r="C685" s="136"/>
      <c r="D685" s="4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40"/>
      <c r="C686" s="136"/>
      <c r="D686" s="4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40"/>
      <c r="C687" s="136"/>
      <c r="D687" s="4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40"/>
      <c r="C688" s="136"/>
      <c r="D688" s="4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40"/>
      <c r="C689" s="136"/>
      <c r="D689" s="4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40"/>
      <c r="C690" s="136"/>
      <c r="D690" s="4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40"/>
      <c r="C691" s="136"/>
      <c r="D691" s="4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40"/>
      <c r="C692" s="136"/>
      <c r="D692" s="4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40"/>
      <c r="C693" s="136"/>
      <c r="D693" s="4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40"/>
      <c r="C694" s="136"/>
      <c r="D694" s="4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40"/>
      <c r="C695" s="136"/>
      <c r="D695" s="4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40"/>
      <c r="C696" s="136"/>
      <c r="D696" s="4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40"/>
      <c r="C697" s="136"/>
      <c r="D697" s="4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40"/>
      <c r="C698" s="136"/>
      <c r="D698" s="4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40"/>
      <c r="C699" s="136"/>
      <c r="D699" s="4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40"/>
      <c r="C700" s="136"/>
      <c r="D700" s="4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40"/>
      <c r="C701" s="136"/>
      <c r="D701" s="4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40"/>
      <c r="C702" s="136"/>
      <c r="D702" s="4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40"/>
      <c r="C703" s="136"/>
      <c r="D703" s="4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40"/>
      <c r="C704" s="136"/>
      <c r="D704" s="4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40"/>
      <c r="C705" s="136"/>
      <c r="D705" s="4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40"/>
      <c r="C706" s="136"/>
      <c r="D706" s="4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40"/>
      <c r="C707" s="136"/>
      <c r="D707" s="4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40"/>
      <c r="C708" s="136"/>
      <c r="D708" s="4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40"/>
      <c r="C709" s="136"/>
      <c r="D709" s="4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40"/>
      <c r="C710" s="136"/>
      <c r="D710" s="4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40"/>
      <c r="C711" s="136"/>
      <c r="D711" s="4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40"/>
      <c r="C712" s="136"/>
      <c r="D712" s="4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40"/>
      <c r="C713" s="136"/>
      <c r="D713" s="4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40"/>
      <c r="C714" s="136"/>
      <c r="D714" s="4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40"/>
      <c r="C715" s="136"/>
      <c r="D715" s="4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40"/>
      <c r="C716" s="136"/>
      <c r="D716" s="4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40"/>
      <c r="C717" s="136"/>
      <c r="D717" s="4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40"/>
      <c r="C718" s="136"/>
      <c r="D718" s="4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40"/>
      <c r="C719" s="136"/>
      <c r="D719" s="4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40"/>
      <c r="C720" s="136"/>
      <c r="D720" s="4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40"/>
      <c r="C721" s="136"/>
      <c r="D721" s="4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40"/>
      <c r="C722" s="136"/>
      <c r="D722" s="4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40"/>
      <c r="C723" s="136"/>
      <c r="D723" s="4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40"/>
      <c r="C724" s="136"/>
      <c r="D724" s="4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40"/>
      <c r="C725" s="136"/>
      <c r="D725" s="4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40"/>
      <c r="C726" s="136"/>
      <c r="D726" s="4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40"/>
      <c r="C727" s="136"/>
      <c r="D727" s="4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40"/>
      <c r="C728" s="136"/>
      <c r="D728" s="4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40"/>
      <c r="C729" s="136"/>
      <c r="D729" s="4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40"/>
      <c r="C730" s="136"/>
      <c r="D730" s="4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40"/>
      <c r="C731" s="136"/>
      <c r="D731" s="4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40"/>
      <c r="C732" s="136"/>
      <c r="D732" s="4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40"/>
      <c r="C733" s="136"/>
      <c r="D733" s="4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40"/>
      <c r="C734" s="136"/>
      <c r="D734" s="4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40"/>
      <c r="C735" s="136"/>
      <c r="D735" s="4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40"/>
      <c r="C736" s="136"/>
      <c r="D736" s="4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40"/>
      <c r="C737" s="136"/>
      <c r="D737" s="4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40"/>
      <c r="C738" s="136"/>
      <c r="D738" s="4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40"/>
      <c r="C739" s="136"/>
      <c r="D739" s="4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40"/>
      <c r="C740" s="136"/>
      <c r="D740" s="4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40"/>
      <c r="C741" s="136"/>
      <c r="D741" s="4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40"/>
      <c r="C742" s="136"/>
      <c r="D742" s="4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40"/>
      <c r="C743" s="136"/>
      <c r="D743" s="4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40"/>
      <c r="C744" s="136"/>
      <c r="D744" s="4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40"/>
      <c r="C745" s="136"/>
      <c r="D745" s="4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40"/>
      <c r="C746" s="136"/>
      <c r="D746" s="4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40"/>
      <c r="C747" s="136"/>
      <c r="D747" s="4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40"/>
      <c r="C748" s="136"/>
      <c r="D748" s="4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40"/>
      <c r="C749" s="136"/>
      <c r="D749" s="4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40"/>
      <c r="C750" s="136"/>
      <c r="D750" s="4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40"/>
      <c r="C751" s="136"/>
      <c r="D751" s="4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40"/>
      <c r="C752" s="136"/>
      <c r="D752" s="4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40"/>
      <c r="C753" s="136"/>
      <c r="D753" s="4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40"/>
      <c r="C754" s="136"/>
      <c r="D754" s="4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40"/>
      <c r="C755" s="136"/>
      <c r="D755" s="4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40"/>
      <c r="C756" s="136"/>
      <c r="D756" s="4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40"/>
      <c r="C757" s="136"/>
      <c r="D757" s="4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40"/>
      <c r="C758" s="136"/>
      <c r="D758" s="4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40"/>
      <c r="C759" s="136"/>
      <c r="D759" s="4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40"/>
      <c r="C760" s="136"/>
      <c r="D760" s="4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40"/>
      <c r="C761" s="136"/>
      <c r="D761" s="4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40"/>
      <c r="C762" s="136"/>
      <c r="D762" s="4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40"/>
      <c r="C763" s="136"/>
      <c r="D763" s="4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40"/>
      <c r="C764" s="136"/>
      <c r="D764" s="4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40"/>
      <c r="C765" s="136"/>
      <c r="D765" s="4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40"/>
      <c r="C766" s="136"/>
      <c r="D766" s="4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40"/>
      <c r="C767" s="136"/>
      <c r="D767" s="4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40"/>
      <c r="C768" s="136"/>
      <c r="D768" s="4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40"/>
      <c r="C769" s="136"/>
      <c r="D769" s="4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40"/>
      <c r="C770" s="136"/>
      <c r="D770" s="4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40"/>
      <c r="C771" s="136"/>
      <c r="D771" s="4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40"/>
      <c r="C772" s="136"/>
      <c r="D772" s="4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40"/>
      <c r="C773" s="136"/>
      <c r="D773" s="4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40"/>
      <c r="C774" s="136"/>
      <c r="D774" s="4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40"/>
      <c r="C775" s="136"/>
      <c r="D775" s="4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40"/>
      <c r="C776" s="136"/>
      <c r="D776" s="4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40"/>
      <c r="C777" s="136"/>
      <c r="D777" s="4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40"/>
      <c r="C778" s="136"/>
      <c r="D778" s="4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40"/>
      <c r="C779" s="136"/>
      <c r="D779" s="4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40"/>
      <c r="C780" s="136"/>
      <c r="D780" s="4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40"/>
      <c r="C781" s="136"/>
      <c r="D781" s="4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40"/>
      <c r="C782" s="136"/>
      <c r="D782" s="4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40"/>
      <c r="C783" s="136"/>
      <c r="D783" s="4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40"/>
      <c r="C784" s="136"/>
      <c r="D784" s="4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40"/>
      <c r="C785" s="136"/>
      <c r="D785" s="4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40"/>
      <c r="C786" s="136"/>
      <c r="D786" s="4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40"/>
      <c r="C787" s="136"/>
      <c r="D787" s="4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40"/>
      <c r="C788" s="136"/>
      <c r="D788" s="4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40"/>
      <c r="C789" s="136"/>
      <c r="D789" s="4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40"/>
      <c r="C790" s="136"/>
      <c r="D790" s="4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40"/>
      <c r="C791" s="136"/>
      <c r="D791" s="4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40"/>
      <c r="C792" s="136"/>
      <c r="D792" s="4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40"/>
      <c r="C793" s="136"/>
      <c r="D793" s="4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40"/>
      <c r="C794" s="136"/>
      <c r="D794" s="4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40"/>
      <c r="C795" s="136"/>
      <c r="D795" s="4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40"/>
      <c r="C796" s="136"/>
      <c r="D796" s="4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40"/>
      <c r="C797" s="136"/>
      <c r="D797" s="4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40"/>
      <c r="C798" s="136"/>
      <c r="D798" s="4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40"/>
      <c r="C799" s="136"/>
      <c r="D799" s="4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40"/>
      <c r="C800" s="136"/>
      <c r="D800" s="4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40"/>
      <c r="C801" s="136"/>
      <c r="D801" s="4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40"/>
      <c r="C802" s="136"/>
      <c r="D802" s="4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40"/>
      <c r="C803" s="136"/>
      <c r="D803" s="4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40"/>
      <c r="C804" s="136"/>
      <c r="D804" s="4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40"/>
      <c r="C805" s="136"/>
      <c r="D805" s="4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40"/>
      <c r="C806" s="136"/>
      <c r="D806" s="4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40"/>
      <c r="C807" s="136"/>
      <c r="D807" s="4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40"/>
      <c r="C808" s="136"/>
      <c r="D808" s="4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40"/>
      <c r="C809" s="136"/>
      <c r="D809" s="4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40"/>
      <c r="C810" s="136"/>
      <c r="D810" s="4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40"/>
      <c r="C811" s="136"/>
      <c r="D811" s="4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40"/>
      <c r="C812" s="136"/>
      <c r="D812" s="4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40"/>
      <c r="C813" s="136"/>
      <c r="D813" s="4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40"/>
      <c r="C814" s="136"/>
      <c r="D814" s="4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40"/>
      <c r="C815" s="136"/>
      <c r="D815" s="4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40"/>
      <c r="C816" s="136"/>
      <c r="D816" s="4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40"/>
      <c r="C817" s="136"/>
      <c r="D817" s="4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40"/>
      <c r="C818" s="136"/>
      <c r="D818" s="4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40"/>
      <c r="C819" s="136"/>
      <c r="D819" s="4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40"/>
      <c r="C820" s="136"/>
      <c r="D820" s="4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40"/>
      <c r="C821" s="136"/>
      <c r="D821" s="4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40"/>
      <c r="C822" s="136"/>
      <c r="D822" s="4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40"/>
      <c r="C823" s="136"/>
      <c r="D823" s="4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40"/>
      <c r="C824" s="136"/>
      <c r="D824" s="4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40"/>
      <c r="C825" s="136"/>
      <c r="D825" s="4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40"/>
      <c r="C826" s="136"/>
      <c r="D826" s="4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40"/>
      <c r="C827" s="136"/>
      <c r="D827" s="4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40"/>
      <c r="C828" s="136"/>
      <c r="D828" s="4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40"/>
      <c r="C829" s="136"/>
      <c r="D829" s="4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40"/>
      <c r="C830" s="136"/>
      <c r="D830" s="4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40"/>
      <c r="C831" s="136"/>
      <c r="D831" s="4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40"/>
      <c r="C832" s="136"/>
      <c r="D832" s="4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40"/>
      <c r="C833" s="136"/>
      <c r="D833" s="4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40"/>
      <c r="C834" s="136"/>
      <c r="D834" s="4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40"/>
      <c r="C835" s="136"/>
      <c r="D835" s="4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40"/>
      <c r="C836" s="136"/>
      <c r="D836" s="4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40"/>
      <c r="C837" s="136"/>
      <c r="D837" s="4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40"/>
      <c r="C838" s="136"/>
      <c r="D838" s="4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40"/>
      <c r="C839" s="136"/>
      <c r="D839" s="4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40"/>
      <c r="C840" s="136"/>
      <c r="D840" s="4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40"/>
      <c r="C841" s="136"/>
      <c r="D841" s="4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40"/>
      <c r="C842" s="136"/>
      <c r="D842" s="4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40"/>
      <c r="C843" s="136"/>
      <c r="D843" s="4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40"/>
      <c r="C844" s="136"/>
      <c r="D844" s="4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40"/>
      <c r="C845" s="136"/>
      <c r="D845" s="4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40"/>
      <c r="C846" s="136"/>
      <c r="D846" s="4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40"/>
      <c r="C847" s="136"/>
      <c r="D847" s="4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40"/>
      <c r="C848" s="136"/>
      <c r="D848" s="4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40"/>
      <c r="C849" s="136"/>
      <c r="D849" s="4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40"/>
      <c r="C850" s="136"/>
      <c r="D850" s="4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40"/>
      <c r="C851" s="136"/>
      <c r="D851" s="4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40"/>
      <c r="C852" s="136"/>
      <c r="D852" s="4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40"/>
      <c r="C853" s="136"/>
      <c r="D853" s="4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40"/>
      <c r="C854" s="136"/>
      <c r="D854" s="4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40"/>
      <c r="C855" s="136"/>
      <c r="D855" s="4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40"/>
      <c r="C856" s="136"/>
      <c r="D856" s="4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40"/>
      <c r="C857" s="136"/>
      <c r="D857" s="4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40"/>
      <c r="C858" s="136"/>
      <c r="D858" s="4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40"/>
      <c r="C859" s="136"/>
      <c r="D859" s="4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40"/>
      <c r="C860" s="136"/>
      <c r="D860" s="4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40"/>
      <c r="C861" s="136"/>
      <c r="D861" s="4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40"/>
      <c r="C862" s="136"/>
      <c r="D862" s="4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40"/>
      <c r="C863" s="136"/>
      <c r="D863" s="4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40"/>
      <c r="C864" s="136"/>
      <c r="D864" s="4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40"/>
      <c r="C865" s="136"/>
      <c r="D865" s="4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40"/>
      <c r="C866" s="136"/>
      <c r="D866" s="4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40"/>
      <c r="C867" s="136"/>
      <c r="D867" s="4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40"/>
      <c r="C868" s="136"/>
      <c r="D868" s="4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40"/>
      <c r="C869" s="136"/>
      <c r="D869" s="4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40"/>
      <c r="C870" s="136"/>
      <c r="D870" s="4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40"/>
      <c r="C871" s="136"/>
      <c r="D871" s="4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40"/>
      <c r="C872" s="136"/>
      <c r="D872" s="4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40"/>
      <c r="C873" s="136"/>
      <c r="D873" s="4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40"/>
      <c r="C874" s="136"/>
      <c r="D874" s="4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40"/>
      <c r="C875" s="136"/>
      <c r="D875" s="4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40"/>
      <c r="C876" s="136"/>
      <c r="D876" s="4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40"/>
      <c r="C877" s="136"/>
      <c r="D877" s="4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40"/>
      <c r="C878" s="136"/>
      <c r="D878" s="4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40"/>
      <c r="C879" s="136"/>
      <c r="D879" s="4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40"/>
      <c r="C880" s="136"/>
      <c r="D880" s="4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40"/>
      <c r="C881" s="136"/>
      <c r="D881" s="4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40"/>
      <c r="C882" s="136"/>
      <c r="D882" s="4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40"/>
      <c r="C883" s="136"/>
      <c r="D883" s="4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40"/>
      <c r="C884" s="136"/>
      <c r="D884" s="4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40"/>
      <c r="C885" s="136"/>
      <c r="D885" s="4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40"/>
      <c r="C886" s="136"/>
      <c r="D886" s="4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40"/>
      <c r="C887" s="136"/>
      <c r="D887" s="4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40"/>
      <c r="C888" s="136"/>
      <c r="D888" s="4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40"/>
      <c r="C889" s="136"/>
      <c r="D889" s="4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40"/>
      <c r="C890" s="136"/>
      <c r="D890" s="4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40"/>
      <c r="C891" s="136"/>
      <c r="D891" s="4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40"/>
      <c r="C892" s="136"/>
      <c r="D892" s="4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40"/>
      <c r="C893" s="136"/>
      <c r="D893" s="4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40"/>
      <c r="C894" s="136"/>
      <c r="D894" s="4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40"/>
      <c r="C895" s="136"/>
      <c r="D895" s="4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40"/>
      <c r="C896" s="136"/>
      <c r="D896" s="4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40"/>
      <c r="C897" s="136"/>
      <c r="D897" s="4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40"/>
      <c r="C898" s="136"/>
      <c r="D898" s="4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40"/>
      <c r="C899" s="136"/>
      <c r="D899" s="4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40"/>
      <c r="C900" s="136"/>
      <c r="D900" s="4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40"/>
      <c r="C901" s="136"/>
      <c r="D901" s="4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40"/>
      <c r="C902" s="136"/>
      <c r="D902" s="4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40"/>
      <c r="C903" s="136"/>
      <c r="D903" s="4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40"/>
      <c r="C904" s="136"/>
      <c r="D904" s="4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40"/>
      <c r="C905" s="136"/>
      <c r="D905" s="4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40"/>
      <c r="C906" s="136"/>
      <c r="D906" s="4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40"/>
      <c r="C907" s="136"/>
      <c r="D907" s="4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40"/>
      <c r="C908" s="136"/>
      <c r="D908" s="4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40"/>
      <c r="C909" s="136"/>
      <c r="D909" s="4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40"/>
      <c r="C910" s="136"/>
      <c r="D910" s="4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40"/>
      <c r="C911" s="136"/>
      <c r="D911" s="4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40"/>
      <c r="C912" s="136"/>
      <c r="D912" s="4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40"/>
      <c r="C913" s="136"/>
      <c r="D913" s="4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40"/>
      <c r="C914" s="136"/>
      <c r="D914" s="4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40"/>
      <c r="C915" s="136"/>
      <c r="D915" s="4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40"/>
      <c r="C916" s="136"/>
      <c r="D916" s="4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40"/>
      <c r="C917" s="136"/>
      <c r="D917" s="4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40"/>
      <c r="C918" s="136"/>
      <c r="D918" s="4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40"/>
      <c r="C919" s="136"/>
      <c r="D919" s="4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40"/>
      <c r="C920" s="136"/>
      <c r="D920" s="4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40"/>
      <c r="C921" s="136"/>
      <c r="D921" s="4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40"/>
      <c r="C922" s="136"/>
      <c r="D922" s="4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40"/>
      <c r="C923" s="136"/>
      <c r="D923" s="4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40"/>
      <c r="C924" s="136"/>
      <c r="D924" s="4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40"/>
      <c r="C925" s="136"/>
      <c r="D925" s="4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40"/>
      <c r="C926" s="136"/>
      <c r="D926" s="4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40"/>
      <c r="C927" s="136"/>
      <c r="D927" s="4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40"/>
      <c r="C928" s="136"/>
      <c r="D928" s="4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40"/>
      <c r="C929" s="136"/>
      <c r="D929" s="4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40"/>
      <c r="C930" s="136"/>
      <c r="D930" s="4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40"/>
      <c r="C931" s="136"/>
      <c r="D931" s="4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40"/>
      <c r="C932" s="136"/>
      <c r="D932" s="4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40"/>
      <c r="C933" s="136"/>
      <c r="D933" s="4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40"/>
      <c r="C934" s="136"/>
      <c r="D934" s="4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40"/>
      <c r="C935" s="136"/>
      <c r="D935" s="4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40"/>
      <c r="C936" s="136"/>
      <c r="D936" s="4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40"/>
      <c r="C937" s="136"/>
      <c r="D937" s="4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40"/>
      <c r="C938" s="136"/>
      <c r="D938" s="4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40"/>
      <c r="C939" s="136"/>
      <c r="D939" s="4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40"/>
      <c r="C940" s="136"/>
      <c r="D940" s="4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40"/>
      <c r="C941" s="136"/>
      <c r="D941" s="4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40"/>
      <c r="C942" s="136"/>
      <c r="D942" s="4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40"/>
      <c r="C943" s="136"/>
      <c r="D943" s="4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40"/>
      <c r="C944" s="136"/>
      <c r="D944" s="4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40"/>
      <c r="C945" s="136"/>
      <c r="D945" s="4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40"/>
      <c r="C946" s="136"/>
      <c r="D946" s="4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40"/>
      <c r="C947" s="136"/>
      <c r="D947" s="4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40"/>
      <c r="C948" s="136"/>
      <c r="D948" s="4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40"/>
      <c r="C949" s="136"/>
      <c r="D949" s="4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40"/>
      <c r="C950" s="136"/>
      <c r="D950" s="4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40"/>
      <c r="C951" s="136"/>
      <c r="D951" s="4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40"/>
      <c r="C952" s="136"/>
      <c r="D952" s="4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40"/>
      <c r="C953" s="136"/>
      <c r="D953" s="4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40"/>
      <c r="C954" s="136"/>
      <c r="D954" s="4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40"/>
      <c r="C955" s="136"/>
      <c r="D955" s="4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40"/>
      <c r="C956" s="136"/>
      <c r="D956" s="4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40"/>
      <c r="C957" s="136"/>
      <c r="D957" s="4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40"/>
      <c r="C958" s="136"/>
      <c r="D958" s="4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40"/>
      <c r="C959" s="136"/>
      <c r="D959" s="4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40"/>
      <c r="C960" s="136"/>
      <c r="D960" s="4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40"/>
      <c r="C961" s="136"/>
      <c r="D961" s="4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40"/>
      <c r="C962" s="136"/>
      <c r="D962" s="4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40"/>
      <c r="C963" s="136"/>
      <c r="D963" s="4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40"/>
      <c r="C964" s="136"/>
      <c r="D964" s="4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40"/>
      <c r="C965" s="136"/>
      <c r="D965" s="4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40"/>
      <c r="C966" s="136"/>
      <c r="D966" s="4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40"/>
      <c r="C967" s="136"/>
      <c r="D967" s="4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40"/>
      <c r="C968" s="136"/>
      <c r="D968" s="4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40"/>
      <c r="C969" s="136"/>
      <c r="D969" s="4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40"/>
      <c r="C970" s="136"/>
      <c r="D970" s="4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40"/>
      <c r="C971" s="136"/>
      <c r="D971" s="4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40"/>
      <c r="C972" s="136"/>
      <c r="D972" s="4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40"/>
      <c r="C973" s="136"/>
      <c r="D973" s="4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40"/>
      <c r="C974" s="136"/>
      <c r="D974" s="4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40"/>
      <c r="C975" s="136"/>
      <c r="D975" s="4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40"/>
      <c r="C976" s="136"/>
      <c r="D976" s="4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40"/>
      <c r="C977" s="136"/>
      <c r="D977" s="4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40"/>
      <c r="C978" s="136"/>
      <c r="D978" s="4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40"/>
      <c r="C979" s="136"/>
      <c r="D979" s="4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40"/>
      <c r="C980" s="136"/>
      <c r="D980" s="4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40"/>
      <c r="C981" s="136"/>
      <c r="D981" s="4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40"/>
      <c r="C982" s="136"/>
      <c r="D982" s="4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40"/>
      <c r="C983" s="136"/>
      <c r="D983" s="4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40"/>
      <c r="C984" s="136"/>
      <c r="D984" s="4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40"/>
      <c r="C985" s="136"/>
      <c r="D985" s="4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40"/>
      <c r="C986" s="136"/>
      <c r="D986" s="4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40"/>
      <c r="C987" s="136"/>
      <c r="D987" s="4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40"/>
      <c r="C988" s="136"/>
      <c r="D988" s="4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40"/>
      <c r="C989" s="136"/>
      <c r="D989" s="4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40"/>
      <c r="C990" s="136"/>
      <c r="D990" s="4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40"/>
      <c r="C991" s="136"/>
      <c r="D991" s="4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40"/>
      <c r="C992" s="136"/>
      <c r="D992" s="4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40"/>
      <c r="C993" s="136"/>
      <c r="D993" s="4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40"/>
      <c r="C994" s="136"/>
      <c r="D994" s="4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40"/>
      <c r="C995" s="136"/>
      <c r="D995" s="4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40"/>
      <c r="C996" s="136"/>
      <c r="D996" s="4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40"/>
      <c r="C997" s="136"/>
      <c r="D997" s="4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40"/>
      <c r="C998" s="136"/>
      <c r="D998" s="4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40"/>
      <c r="C999" s="136"/>
      <c r="D999" s="4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40"/>
      <c r="C1000" s="136"/>
      <c r="D1000" s="4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40"/>
      <c r="C1001" s="136"/>
      <c r="D1001" s="42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40"/>
      <c r="C1002" s="136"/>
      <c r="D1002" s="42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40"/>
      <c r="C1003" s="136"/>
      <c r="D1003" s="4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40"/>
      <c r="C1004" s="136"/>
      <c r="D1004" s="42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40"/>
      <c r="C1005" s="136"/>
      <c r="D1005" s="42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40"/>
      <c r="C1006" s="136"/>
      <c r="D1006" s="42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40"/>
      <c r="C1007" s="136"/>
      <c r="D1007" s="42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40"/>
      <c r="C1008" s="136"/>
      <c r="D1008" s="42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40"/>
      <c r="C1009" s="136"/>
      <c r="D1009" s="42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mergeCells count="36">
    <mergeCell ref="G16:H16"/>
    <mergeCell ref="G18:H18"/>
    <mergeCell ref="F24:J24"/>
    <mergeCell ref="A2:A9"/>
    <mergeCell ref="F2:F3"/>
    <mergeCell ref="A10:A15"/>
    <mergeCell ref="G13:H13"/>
    <mergeCell ref="G14:H14"/>
    <mergeCell ref="G15:H15"/>
    <mergeCell ref="G19:H19"/>
    <mergeCell ref="A16:A19"/>
    <mergeCell ref="A20:A25"/>
    <mergeCell ref="A26:A31"/>
    <mergeCell ref="A32:A36"/>
    <mergeCell ref="A37:A38"/>
    <mergeCell ref="A39:A41"/>
    <mergeCell ref="A42:A43"/>
    <mergeCell ref="A44:A47"/>
    <mergeCell ref="A48:A51"/>
    <mergeCell ref="A52:A57"/>
    <mergeCell ref="A58:A61"/>
    <mergeCell ref="A62:A63"/>
    <mergeCell ref="A64:A66"/>
    <mergeCell ref="A67:A71"/>
    <mergeCell ref="A103:A107"/>
    <mergeCell ref="A108:A112"/>
    <mergeCell ref="A113:A116"/>
    <mergeCell ref="A118:A120"/>
    <mergeCell ref="A121:A122"/>
    <mergeCell ref="A72:A76"/>
    <mergeCell ref="A77:A80"/>
    <mergeCell ref="A81:A85"/>
    <mergeCell ref="A86:A89"/>
    <mergeCell ref="A90:A97"/>
    <mergeCell ref="A98:A100"/>
    <mergeCell ref="A101:A102"/>
  </mergeCells>
  <conditionalFormatting sqref="F27:J107">
    <cfRule type="expression" dxfId="0" priority="1">
      <formula>$I27=TRUE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13"/>
    <col customWidth="1" min="4" max="4" width="21.88"/>
    <col customWidth="1" min="5" max="5" width="15.63"/>
    <col customWidth="1" min="6" max="6" width="24.38"/>
    <col customWidth="1" min="7" max="7" width="41.38"/>
    <col customWidth="1" min="8" max="8" width="14.38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8">
        <v>46080.0</v>
      </c>
      <c r="B2" s="41" t="s">
        <v>378</v>
      </c>
      <c r="C2" s="41">
        <v>0.0</v>
      </c>
      <c r="D2" s="99" t="s">
        <v>40</v>
      </c>
      <c r="E2" s="41"/>
      <c r="F2" s="100">
        <v>46080.0</v>
      </c>
      <c r="G2" s="101" t="s">
        <v>379</v>
      </c>
      <c r="H2" s="141">
        <f>57+24357+146-200</f>
        <v>24360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41" t="s">
        <v>231</v>
      </c>
      <c r="C3" s="41">
        <v>50.0</v>
      </c>
      <c r="D3" s="99" t="s">
        <v>40</v>
      </c>
      <c r="E3" s="41"/>
      <c r="F3" s="92"/>
      <c r="G3" s="41" t="s">
        <v>380</v>
      </c>
      <c r="H3" s="104">
        <v>200.0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1" t="s">
        <v>283</v>
      </c>
      <c r="C4" s="41">
        <v>60.0</v>
      </c>
      <c r="D4" s="99" t="s">
        <v>40</v>
      </c>
      <c r="E4" s="5"/>
      <c r="F4" s="103">
        <v>46081.0</v>
      </c>
      <c r="G4" s="41" t="s">
        <v>381</v>
      </c>
      <c r="H4" s="104">
        <v>281.0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41" t="s">
        <v>41</v>
      </c>
      <c r="C5" s="41">
        <v>5000.0</v>
      </c>
      <c r="D5" s="99" t="s">
        <v>101</v>
      </c>
      <c r="E5" s="41"/>
      <c r="F5" s="103">
        <v>46084.0</v>
      </c>
      <c r="G5" s="41" t="s">
        <v>382</v>
      </c>
      <c r="H5" s="104">
        <v>3150.0</v>
      </c>
      <c r="I5" s="2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41" t="s">
        <v>146</v>
      </c>
      <c r="C6" s="41">
        <v>80.0</v>
      </c>
      <c r="D6" s="99" t="s">
        <v>40</v>
      </c>
      <c r="E6" s="5"/>
      <c r="F6" s="103">
        <v>46086.0</v>
      </c>
      <c r="G6" s="41" t="s">
        <v>383</v>
      </c>
      <c r="H6" s="104">
        <v>5545.0</v>
      </c>
      <c r="I6" s="29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41" t="s">
        <v>151</v>
      </c>
      <c r="C7" s="41">
        <v>183.0</v>
      </c>
      <c r="D7" s="99" t="s">
        <v>40</v>
      </c>
      <c r="E7" s="5"/>
      <c r="F7" s="103">
        <v>46096.0</v>
      </c>
      <c r="G7" s="41" t="s">
        <v>199</v>
      </c>
      <c r="H7" s="104">
        <v>3000.0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41" t="s">
        <v>148</v>
      </c>
      <c r="C8" s="41">
        <v>182.0</v>
      </c>
      <c r="D8" s="99" t="s">
        <v>40</v>
      </c>
      <c r="E8" s="5"/>
      <c r="F8" s="103">
        <v>46102.0</v>
      </c>
      <c r="G8" s="41" t="s">
        <v>199</v>
      </c>
      <c r="H8" s="104">
        <v>3000.0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41" t="s">
        <v>108</v>
      </c>
      <c r="C9" s="41">
        <v>500.0</v>
      </c>
      <c r="D9" s="99" t="s">
        <v>34</v>
      </c>
      <c r="E9" s="5"/>
      <c r="F9" s="92"/>
      <c r="G9" s="41" t="s">
        <v>227</v>
      </c>
      <c r="H9" s="104">
        <f>500+1300</f>
        <v>1800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8">
        <v>46081.0</v>
      </c>
      <c r="B10" s="41" t="s">
        <v>364</v>
      </c>
      <c r="C10" s="41">
        <v>205.0</v>
      </c>
      <c r="D10" s="99" t="s">
        <v>40</v>
      </c>
      <c r="E10" s="5"/>
      <c r="F10" s="103">
        <v>46108.0</v>
      </c>
      <c r="G10" s="41" t="s">
        <v>202</v>
      </c>
      <c r="H10" s="104">
        <v>200.0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B11" s="41" t="s">
        <v>384</v>
      </c>
      <c r="C11" s="41">
        <v>938.0</v>
      </c>
      <c r="D11" s="99" t="s">
        <v>40</v>
      </c>
      <c r="E11" s="5"/>
      <c r="F11" s="103"/>
      <c r="G11" s="41"/>
      <c r="H11" s="10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B12" s="41" t="s">
        <v>385</v>
      </c>
      <c r="C12" s="41">
        <v>4292.0</v>
      </c>
      <c r="D12" s="99" t="s">
        <v>35</v>
      </c>
      <c r="E12" s="5"/>
      <c r="F12" s="112"/>
      <c r="G12" s="113"/>
      <c r="H12" s="11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41" t="s">
        <v>84</v>
      </c>
      <c r="C13" s="41">
        <v>2945.0</v>
      </c>
      <c r="D13" s="99" t="s">
        <v>84</v>
      </c>
      <c r="E13" s="5"/>
      <c r="F13" s="117" t="s">
        <v>49</v>
      </c>
      <c r="G13" s="116">
        <f>SUM(H2:H12)</f>
        <v>41536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41" t="s">
        <v>355</v>
      </c>
      <c r="C14" s="44">
        <f>50+180+620+590</f>
        <v>1440</v>
      </c>
      <c r="D14" s="99" t="s">
        <v>40</v>
      </c>
      <c r="E14" s="5"/>
      <c r="F14" s="117" t="s">
        <v>51</v>
      </c>
      <c r="G14" s="118">
        <f>SUMIF(D2:D228, "&lt;&gt;Credit", C2:C536) + G15</f>
        <v>41247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41" t="s">
        <v>386</v>
      </c>
      <c r="C15" s="41">
        <v>390.0</v>
      </c>
      <c r="D15" s="99" t="s">
        <v>40</v>
      </c>
      <c r="E15" s="5"/>
      <c r="F15" s="117" t="s">
        <v>53</v>
      </c>
      <c r="G15" s="119">
        <f>69</f>
        <v>69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B16" s="41" t="s">
        <v>2</v>
      </c>
      <c r="C16" s="41">
        <v>2000.0</v>
      </c>
      <c r="D16" s="99" t="s">
        <v>2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8">
        <v>46082.0</v>
      </c>
      <c r="B17" s="41" t="s">
        <v>37</v>
      </c>
      <c r="C17" s="41">
        <v>50.0</v>
      </c>
      <c r="D17" s="99" t="s">
        <v>40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B18" s="41" t="s">
        <v>270</v>
      </c>
      <c r="C18" s="41">
        <v>459.0</v>
      </c>
      <c r="D18" s="99" t="s">
        <v>40</v>
      </c>
      <c r="E18" s="5"/>
      <c r="F18" s="117" t="s">
        <v>57</v>
      </c>
      <c r="G18" s="121">
        <f>G13-G14-J26</f>
        <v>289</v>
      </c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B19" s="41" t="s">
        <v>167</v>
      </c>
      <c r="C19" s="41">
        <v>20.0</v>
      </c>
      <c r="D19" s="99" t="s">
        <v>40</v>
      </c>
      <c r="E19" s="5"/>
      <c r="F19" s="117" t="s">
        <v>59</v>
      </c>
      <c r="G19" s="122">
        <f>G13-G14</f>
        <v>289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B20" s="41" t="s">
        <v>387</v>
      </c>
      <c r="C20" s="41">
        <v>30.0</v>
      </c>
      <c r="D20" s="99" t="s">
        <v>40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B21" s="41" t="s">
        <v>125</v>
      </c>
      <c r="C21" s="41">
        <v>273.0</v>
      </c>
      <c r="D21" s="99" t="s">
        <v>40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8">
        <v>46083.0</v>
      </c>
      <c r="B22" s="41" t="s">
        <v>319</v>
      </c>
      <c r="C22" s="41">
        <v>20.0</v>
      </c>
      <c r="D22" s="99" t="s">
        <v>40</v>
      </c>
      <c r="E22" s="5"/>
      <c r="F22" s="124" t="s">
        <v>40</v>
      </c>
      <c r="G22" s="19">
        <v>8000.0</v>
      </c>
      <c r="H22" s="37">
        <f>SUMIF(D2:D151, "=Living expense",C2:C169)+G15</f>
        <v>10930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41" t="s">
        <v>241</v>
      </c>
      <c r="C23" s="41">
        <v>73.0</v>
      </c>
      <c r="D23" s="99" t="s">
        <v>40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8">
        <v>46084.0</v>
      </c>
      <c r="B24" s="41" t="s">
        <v>65</v>
      </c>
      <c r="C24" s="41">
        <v>19.0</v>
      </c>
      <c r="D24" s="99" t="s">
        <v>66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41" t="s">
        <v>68</v>
      </c>
      <c r="C25" s="41">
        <v>312.0</v>
      </c>
      <c r="D25" s="99" t="s">
        <v>66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B26" s="41" t="s">
        <v>152</v>
      </c>
      <c r="C26" s="41">
        <v>18.0</v>
      </c>
      <c r="D26" s="99" t="s">
        <v>40</v>
      </c>
      <c r="E26" s="5"/>
      <c r="F26" s="126" t="s">
        <v>73</v>
      </c>
      <c r="G26" s="127">
        <f t="shared" ref="G26:H26" si="1">SUM(G27:G107)</f>
        <v>23737</v>
      </c>
      <c r="H26" s="128">
        <f t="shared" si="1"/>
        <v>29717</v>
      </c>
      <c r="I26" s="129"/>
      <c r="J26" s="128">
        <f>SUM(J27:J107)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B27" s="41" t="s">
        <v>247</v>
      </c>
      <c r="C27" s="41">
        <v>235.0</v>
      </c>
      <c r="D27" s="99" t="s">
        <v>40</v>
      </c>
      <c r="E27" s="5"/>
      <c r="F27" s="105" t="s">
        <v>66</v>
      </c>
      <c r="G27" s="107">
        <v>6500.0</v>
      </c>
      <c r="H27" s="130">
        <f>IFERROR(__xludf.DUMMYFUNCTION("SUMIF($D$2:$D$527, TO_TEXT(F27) ,$C$2:$C$527)"),6431.0)</f>
        <v>6431</v>
      </c>
      <c r="I27" s="41" t="b">
        <v>1</v>
      </c>
      <c r="J27" s="42">
        <f t="shared" ref="J27:J32" si="2">IF(I27=TRUE,0,MAX(G27-H27,0))</f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B28" s="41" t="s">
        <v>388</v>
      </c>
      <c r="C28" s="41">
        <f>145-45-50</f>
        <v>50</v>
      </c>
      <c r="D28" s="99" t="s">
        <v>40</v>
      </c>
      <c r="E28" s="5"/>
      <c r="F28" s="105" t="s">
        <v>12</v>
      </c>
      <c r="G28" s="107">
        <v>3000.0</v>
      </c>
      <c r="H28" s="130">
        <f>IFERROR(__xludf.DUMMYFUNCTION("SUMIF($D$2:$D$527, TO_TEXT(F28) ,$C$2:$C$527)"),5000.0)</f>
        <v>5000</v>
      </c>
      <c r="I28" s="41" t="b">
        <v>1</v>
      </c>
      <c r="J28" s="42">
        <f t="shared" si="2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8">
        <v>46085.0</v>
      </c>
      <c r="B29" s="41" t="s">
        <v>50</v>
      </c>
      <c r="C29" s="41">
        <v>45.0</v>
      </c>
      <c r="D29" s="99" t="s">
        <v>40</v>
      </c>
      <c r="E29" s="5"/>
      <c r="F29" s="41" t="s">
        <v>84</v>
      </c>
      <c r="G29" s="99">
        <v>2945.0</v>
      </c>
      <c r="H29" s="130">
        <f>IFERROR(__xludf.DUMMYFUNCTION("SUMIF($D$2:$D$527, TO_TEXT(F29) ,$C$2:$C$527)"),2945.0)</f>
        <v>2945</v>
      </c>
      <c r="I29" s="41" t="b">
        <v>1</v>
      </c>
      <c r="J29" s="42">
        <f t="shared" si="2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B30" s="41" t="s">
        <v>152</v>
      </c>
      <c r="C30" s="41">
        <v>10.0</v>
      </c>
      <c r="D30" s="99" t="s">
        <v>40</v>
      </c>
      <c r="E30" s="5"/>
      <c r="F30" s="105" t="s">
        <v>35</v>
      </c>
      <c r="G30" s="107">
        <v>4292.0</v>
      </c>
      <c r="H30" s="130">
        <f>IFERROR(__xludf.DUMMYFUNCTION("SUMIF($D$2:$D$527, TO_TEXT(F30) ,$C$2:$C$527)"),4292.0)</f>
        <v>4292</v>
      </c>
      <c r="I30" s="41" t="b">
        <v>1</v>
      </c>
      <c r="J30" s="42">
        <f t="shared" si="2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41" t="s">
        <v>80</v>
      </c>
      <c r="C31" s="41">
        <v>103.0</v>
      </c>
      <c r="D31" s="99" t="s">
        <v>40</v>
      </c>
      <c r="E31" s="5"/>
      <c r="F31" s="105" t="s">
        <v>101</v>
      </c>
      <c r="G31" s="107">
        <v>5000.0</v>
      </c>
      <c r="H31" s="130">
        <f>IFERROR(__xludf.DUMMYFUNCTION("SUMIF($D$2:$D$527, TO_TEXT(F31) ,$C$2:$C$527)"),9049.0)</f>
        <v>9049</v>
      </c>
      <c r="I31" s="41" t="b">
        <v>1</v>
      </c>
      <c r="J31" s="42">
        <f t="shared" si="2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8">
        <v>46086.0</v>
      </c>
      <c r="B32" s="41" t="s">
        <v>151</v>
      </c>
      <c r="C32" s="41">
        <v>41.0</v>
      </c>
      <c r="D32" s="99" t="s">
        <v>40</v>
      </c>
      <c r="E32" s="5"/>
      <c r="F32" s="41" t="s">
        <v>2</v>
      </c>
      <c r="G32" s="99">
        <v>2000.0</v>
      </c>
      <c r="H32" s="130">
        <f>IFERROR(__xludf.DUMMYFUNCTION("SUMIF($D$2:$D$527, TO_TEXT(F32) ,$C$2:$C$527)"),2000.0)</f>
        <v>2000</v>
      </c>
      <c r="I32" s="41" t="b">
        <v>1</v>
      </c>
      <c r="J32" s="42">
        <f t="shared" si="2"/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B33" s="41" t="s">
        <v>152</v>
      </c>
      <c r="C33" s="41">
        <v>38.0</v>
      </c>
      <c r="D33" s="99" t="s">
        <v>40</v>
      </c>
      <c r="E33" s="5"/>
      <c r="F33" s="41"/>
      <c r="G33" s="99"/>
      <c r="H33" s="130"/>
      <c r="I33" s="41"/>
      <c r="J33" s="4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B34" s="41" t="s">
        <v>389</v>
      </c>
      <c r="C34" s="41">
        <v>118.0</v>
      </c>
      <c r="D34" s="99" t="s">
        <v>40</v>
      </c>
      <c r="E34" s="41"/>
      <c r="F34" s="105"/>
      <c r="G34" s="107"/>
      <c r="H34" s="130"/>
      <c r="I34" s="41"/>
      <c r="J34" s="4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41" t="s">
        <v>54</v>
      </c>
      <c r="C35" s="41">
        <v>25.0</v>
      </c>
      <c r="D35" s="99" t="s">
        <v>40</v>
      </c>
      <c r="E35" s="5"/>
      <c r="F35" s="41"/>
      <c r="G35" s="99"/>
      <c r="H35" s="130"/>
      <c r="I35" s="41"/>
      <c r="J35" s="4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B36" s="41" t="s">
        <v>390</v>
      </c>
      <c r="C36" s="41">
        <v>31.0</v>
      </c>
      <c r="D36" s="99" t="s">
        <v>40</v>
      </c>
      <c r="E36" s="5"/>
      <c r="F36" s="41"/>
      <c r="G36" s="99"/>
      <c r="H36" s="130"/>
      <c r="I36" s="41"/>
      <c r="J36" s="42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8">
        <v>46087.0</v>
      </c>
      <c r="B37" s="41" t="s">
        <v>391</v>
      </c>
      <c r="C37" s="41">
        <v>232.0</v>
      </c>
      <c r="D37" s="99" t="s">
        <v>40</v>
      </c>
      <c r="E37" s="5"/>
      <c r="F37" s="41"/>
      <c r="G37" s="99"/>
      <c r="H37" s="130"/>
      <c r="I37" s="41"/>
      <c r="J37" s="4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B38" s="41" t="s">
        <v>50</v>
      </c>
      <c r="C38" s="44">
        <f>90-30-30</f>
        <v>30</v>
      </c>
      <c r="D38" s="99" t="s">
        <v>40</v>
      </c>
      <c r="E38" s="41"/>
      <c r="F38" s="41"/>
      <c r="G38" s="99"/>
      <c r="H38" s="130"/>
      <c r="I38" s="99"/>
      <c r="J38" s="130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B39" s="41" t="s">
        <v>152</v>
      </c>
      <c r="C39" s="41">
        <v>43.0</v>
      </c>
      <c r="D39" s="99" t="s">
        <v>40</v>
      </c>
      <c r="E39" s="5"/>
      <c r="F39" s="41"/>
      <c r="G39" s="99"/>
      <c r="H39" s="130"/>
      <c r="I39" s="99"/>
      <c r="J39" s="130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B40" s="41" t="s">
        <v>392</v>
      </c>
      <c r="C40" s="44">
        <f>172-30-30-23-46</f>
        <v>43</v>
      </c>
      <c r="D40" s="99" t="s">
        <v>40</v>
      </c>
      <c r="E40" s="41"/>
      <c r="F40" s="41"/>
      <c r="G40" s="99"/>
      <c r="H40" s="130"/>
      <c r="I40" s="99"/>
      <c r="J40" s="130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B41" s="41" t="s">
        <v>148</v>
      </c>
      <c r="C41" s="41">
        <v>81.0</v>
      </c>
      <c r="D41" s="99" t="s">
        <v>40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B42" s="41" t="s">
        <v>295</v>
      </c>
      <c r="C42" s="41">
        <v>237.0</v>
      </c>
      <c r="D42" s="99" t="s">
        <v>40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8">
        <v>46088.0</v>
      </c>
      <c r="B43" s="41" t="s">
        <v>364</v>
      </c>
      <c r="C43" s="41">
        <v>160.0</v>
      </c>
      <c r="D43" s="99" t="s">
        <v>40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B44" s="41" t="s">
        <v>168</v>
      </c>
      <c r="C44" s="44">
        <f>286+50+100</f>
        <v>436</v>
      </c>
      <c r="D44" s="99" t="s">
        <v>40</v>
      </c>
      <c r="E44" s="5"/>
      <c r="F44" s="41"/>
      <c r="G44" s="99"/>
      <c r="H44" s="130"/>
      <c r="I44" s="99"/>
      <c r="J44" s="13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8"/>
      <c r="B45" s="41" t="s">
        <v>393</v>
      </c>
      <c r="C45" s="41">
        <v>35.0</v>
      </c>
      <c r="D45" s="99" t="s">
        <v>40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98">
        <v>46089.0</v>
      </c>
      <c r="B46" s="41" t="s">
        <v>37</v>
      </c>
      <c r="C46" s="41">
        <v>65.0</v>
      </c>
      <c r="D46" s="99" t="s">
        <v>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B47" s="41" t="s">
        <v>148</v>
      </c>
      <c r="C47" s="41">
        <v>30.0</v>
      </c>
      <c r="D47" s="99" t="s">
        <v>40</v>
      </c>
      <c r="E47" s="5"/>
      <c r="F47" s="41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B48" s="41" t="s">
        <v>394</v>
      </c>
      <c r="C48" s="41">
        <v>22.0</v>
      </c>
      <c r="D48" s="99" t="s">
        <v>40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B49" s="41" t="s">
        <v>167</v>
      </c>
      <c r="C49" s="41">
        <v>20.0</v>
      </c>
      <c r="D49" s="99" t="s">
        <v>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B50" s="41" t="s">
        <v>54</v>
      </c>
      <c r="C50" s="41">
        <v>25.0</v>
      </c>
      <c r="D50" s="99" t="s">
        <v>40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8">
        <v>46090.0</v>
      </c>
      <c r="B51" s="41" t="s">
        <v>152</v>
      </c>
      <c r="C51" s="41">
        <v>12.0</v>
      </c>
      <c r="D51" s="99" t="s">
        <v>40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B52" s="41" t="s">
        <v>112</v>
      </c>
      <c r="C52" s="41">
        <v>40.0</v>
      </c>
      <c r="D52" s="99" t="s">
        <v>40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8">
        <v>46091.0</v>
      </c>
      <c r="B53" s="41" t="s">
        <v>152</v>
      </c>
      <c r="C53" s="41">
        <v>68.0</v>
      </c>
      <c r="D53" s="99" t="s">
        <v>40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B54" s="41" t="s">
        <v>80</v>
      </c>
      <c r="C54" s="41">
        <v>60.0</v>
      </c>
      <c r="D54" s="99" t="s">
        <v>40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41" t="s">
        <v>148</v>
      </c>
      <c r="C55" s="41">
        <v>104.0</v>
      </c>
      <c r="D55" s="99" t="s">
        <v>40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98">
        <v>46092.0</v>
      </c>
      <c r="B56" s="41" t="s">
        <v>152</v>
      </c>
      <c r="C56" s="41">
        <v>15.0</v>
      </c>
      <c r="D56" s="99" t="s">
        <v>40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B57" s="41" t="s">
        <v>241</v>
      </c>
      <c r="C57" s="41">
        <f>111-35-35</f>
        <v>41</v>
      </c>
      <c r="D57" s="99" t="s">
        <v>40</v>
      </c>
      <c r="E57" s="4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B58" s="41" t="s">
        <v>148</v>
      </c>
      <c r="C58" s="41">
        <v>53.0</v>
      </c>
      <c r="D58" s="99" t="s">
        <v>40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98">
        <v>46093.0</v>
      </c>
      <c r="B59" s="41" t="s">
        <v>74</v>
      </c>
      <c r="C59" s="41">
        <v>65.0</v>
      </c>
      <c r="D59" s="99" t="s">
        <v>40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B60" s="41" t="s">
        <v>148</v>
      </c>
      <c r="C60" s="41">
        <v>48.0</v>
      </c>
      <c r="D60" s="99" t="s">
        <v>40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8">
        <v>46094.0</v>
      </c>
      <c r="B61" s="41" t="s">
        <v>50</v>
      </c>
      <c r="C61" s="41">
        <v>47.0</v>
      </c>
      <c r="D61" s="99" t="s">
        <v>40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B62" s="41" t="s">
        <v>136</v>
      </c>
      <c r="C62" s="41">
        <v>17.0</v>
      </c>
      <c r="D62" s="99" t="s">
        <v>40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B63" s="41" t="s">
        <v>395</v>
      </c>
      <c r="C63" s="41">
        <f>126-35-40</f>
        <v>51</v>
      </c>
      <c r="D63" s="99" t="s">
        <v>40</v>
      </c>
      <c r="E63" s="4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98">
        <v>46095.0</v>
      </c>
      <c r="B64" s="41" t="s">
        <v>140</v>
      </c>
      <c r="C64" s="41">
        <v>215.0</v>
      </c>
      <c r="D64" s="99" t="s">
        <v>40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B65" s="41" t="s">
        <v>396</v>
      </c>
      <c r="C65" s="41">
        <v>137.0</v>
      </c>
      <c r="D65" s="99" t="s">
        <v>48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B66" s="41" t="s">
        <v>397</v>
      </c>
      <c r="C66" s="41">
        <v>260.0</v>
      </c>
      <c r="D66" s="99" t="s">
        <v>40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B67" s="41" t="s">
        <v>398</v>
      </c>
      <c r="C67" s="41">
        <v>30.0</v>
      </c>
      <c r="D67" s="99" t="s">
        <v>40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B68" s="41" t="s">
        <v>95</v>
      </c>
      <c r="C68" s="44">
        <f>100+66+74</f>
        <v>240</v>
      </c>
      <c r="D68" s="99" t="s">
        <v>40</v>
      </c>
      <c r="E68" s="4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B69" s="41" t="s">
        <v>335</v>
      </c>
      <c r="C69" s="41">
        <v>100.0</v>
      </c>
      <c r="D69" s="99" t="s">
        <v>66</v>
      </c>
      <c r="E69" s="4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B70" s="41" t="s">
        <v>399</v>
      </c>
      <c r="C70" s="41">
        <v>25.0</v>
      </c>
      <c r="D70" s="99" t="s">
        <v>40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98">
        <v>46096.0</v>
      </c>
      <c r="B71" s="41" t="s">
        <v>139</v>
      </c>
      <c r="C71" s="41">
        <v>33.0</v>
      </c>
      <c r="D71" s="99" t="s">
        <v>40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B72" s="41" t="s">
        <v>66</v>
      </c>
      <c r="C72" s="41">
        <v>6000.0</v>
      </c>
      <c r="D72" s="99" t="s">
        <v>66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B73" s="41" t="s">
        <v>167</v>
      </c>
      <c r="C73" s="41">
        <v>10.0</v>
      </c>
      <c r="D73" s="99" t="s">
        <v>40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41" t="s">
        <v>54</v>
      </c>
      <c r="C74" s="41">
        <v>54.0</v>
      </c>
      <c r="D74" s="99" t="s">
        <v>40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B75" s="41" t="s">
        <v>37</v>
      </c>
      <c r="C75" s="41">
        <v>60.0</v>
      </c>
      <c r="D75" s="99" t="s">
        <v>40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41" t="s">
        <v>12</v>
      </c>
      <c r="C76" s="41">
        <v>5000.0</v>
      </c>
      <c r="D76" s="99" t="s">
        <v>12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B77" s="41" t="s">
        <v>184</v>
      </c>
      <c r="C77" s="41">
        <v>495.0</v>
      </c>
      <c r="D77" s="99" t="s">
        <v>48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98">
        <v>46097.0</v>
      </c>
      <c r="B78" s="41" t="s">
        <v>152</v>
      </c>
      <c r="C78" s="41">
        <v>10.0</v>
      </c>
      <c r="D78" s="99" t="s">
        <v>40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B79" s="41" t="s">
        <v>229</v>
      </c>
      <c r="C79" s="41">
        <v>56.0</v>
      </c>
      <c r="D79" s="99" t="s">
        <v>40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98">
        <v>46098.0</v>
      </c>
      <c r="B80" s="41" t="s">
        <v>152</v>
      </c>
      <c r="C80" s="41">
        <v>42.0</v>
      </c>
      <c r="D80" s="99" t="s">
        <v>40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B81" s="41" t="s">
        <v>369</v>
      </c>
      <c r="C81" s="44">
        <f>80-37</f>
        <v>43</v>
      </c>
      <c r="D81" s="99" t="s">
        <v>40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B82" s="41" t="s">
        <v>148</v>
      </c>
      <c r="C82" s="41">
        <v>40.0</v>
      </c>
      <c r="D82" s="99" t="s">
        <v>40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B83" s="41" t="s">
        <v>80</v>
      </c>
      <c r="C83" s="41">
        <v>48.0</v>
      </c>
      <c r="D83" s="99" t="s">
        <v>40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98">
        <v>46099.0</v>
      </c>
      <c r="B84" s="41" t="s">
        <v>152</v>
      </c>
      <c r="C84" s="41">
        <v>46.0</v>
      </c>
      <c r="D84" s="99" t="s">
        <v>40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B85" s="41" t="s">
        <v>80</v>
      </c>
      <c r="C85" s="41">
        <v>60.0</v>
      </c>
      <c r="D85" s="99" t="s">
        <v>40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B86" s="41" t="s">
        <v>132</v>
      </c>
      <c r="C86" s="41">
        <v>12.0</v>
      </c>
      <c r="D86" s="99" t="s">
        <v>40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98">
        <v>46100.0</v>
      </c>
      <c r="B87" s="41" t="s">
        <v>152</v>
      </c>
      <c r="C87" s="41">
        <v>15.0</v>
      </c>
      <c r="D87" s="99" t="s">
        <v>40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B88" s="41" t="s">
        <v>50</v>
      </c>
      <c r="C88" s="41">
        <v>40.0</v>
      </c>
      <c r="D88" s="99" t="s">
        <v>40</v>
      </c>
      <c r="E88" s="4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B89" s="41" t="s">
        <v>148</v>
      </c>
      <c r="C89" s="41">
        <v>66.0</v>
      </c>
      <c r="D89" s="99" t="s">
        <v>40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B90" s="41" t="s">
        <v>343</v>
      </c>
      <c r="C90" s="41">
        <v>20.0</v>
      </c>
      <c r="D90" s="99" t="s">
        <v>40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98">
        <v>46101.0</v>
      </c>
      <c r="B91" s="41" t="s">
        <v>364</v>
      </c>
      <c r="C91" s="41">
        <v>155.0</v>
      </c>
      <c r="D91" s="99" t="s">
        <v>40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41" t="s">
        <v>148</v>
      </c>
      <c r="C92" s="41">
        <v>75.0</v>
      </c>
      <c r="D92" s="99" t="s">
        <v>40</v>
      </c>
      <c r="E92" s="4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B93" s="41" t="s">
        <v>400</v>
      </c>
      <c r="C93" s="41">
        <v>154.0</v>
      </c>
      <c r="D93" s="99" t="s">
        <v>40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B94" s="41" t="s">
        <v>401</v>
      </c>
      <c r="C94" s="41">
        <v>93.0</v>
      </c>
      <c r="D94" s="99" t="s">
        <v>40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98">
        <v>46102.0</v>
      </c>
      <c r="B95" s="41" t="s">
        <v>144</v>
      </c>
      <c r="C95" s="41">
        <v>125.0</v>
      </c>
      <c r="D95" s="99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B96" s="41" t="s">
        <v>402</v>
      </c>
      <c r="C96" s="41">
        <v>180.0</v>
      </c>
      <c r="D96" s="99" t="s">
        <v>101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B97" s="41" t="s">
        <v>403</v>
      </c>
      <c r="C97" s="44">
        <f>3000+1705</f>
        <v>4705</v>
      </c>
      <c r="D97" s="99" t="s">
        <v>101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B98" s="41" t="s">
        <v>404</v>
      </c>
      <c r="C98" s="41">
        <v>-2336.0</v>
      </c>
      <c r="D98" s="99" t="s">
        <v>101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B99" s="41" t="s">
        <v>128</v>
      </c>
      <c r="C99" s="41">
        <v>120.0</v>
      </c>
      <c r="D99" s="99" t="s">
        <v>40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B100" s="41" t="s">
        <v>282</v>
      </c>
      <c r="C100" s="44">
        <f>45+25</f>
        <v>70</v>
      </c>
      <c r="D100" s="99" t="s">
        <v>40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B101" s="41" t="s">
        <v>41</v>
      </c>
      <c r="C101" s="41">
        <v>1000.0</v>
      </c>
      <c r="D101" s="99" t="s">
        <v>101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B102" s="41" t="s">
        <v>146</v>
      </c>
      <c r="C102" s="41">
        <v>100.0</v>
      </c>
      <c r="D102" s="99" t="s">
        <v>40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B103" s="41" t="s">
        <v>130</v>
      </c>
      <c r="C103" s="41">
        <v>30.0</v>
      </c>
      <c r="D103" s="99" t="s">
        <v>40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98">
        <v>46103.0</v>
      </c>
      <c r="B104" s="41" t="s">
        <v>160</v>
      </c>
      <c r="C104" s="41">
        <v>50.0</v>
      </c>
      <c r="D104" s="99" t="s">
        <v>40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B105" s="41" t="s">
        <v>167</v>
      </c>
      <c r="C105" s="41">
        <v>20.0</v>
      </c>
      <c r="D105" s="99" t="s">
        <v>40</v>
      </c>
      <c r="E105" s="4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B106" s="41" t="s">
        <v>80</v>
      </c>
      <c r="C106" s="41">
        <v>110.0</v>
      </c>
      <c r="D106" s="99" t="s">
        <v>40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B107" s="41" t="s">
        <v>396</v>
      </c>
      <c r="C107" s="41">
        <v>191.0</v>
      </c>
      <c r="D107" s="99" t="s">
        <v>48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B108" s="41" t="s">
        <v>405</v>
      </c>
      <c r="C108" s="41">
        <v>100.0</v>
      </c>
      <c r="D108" s="99" t="s">
        <v>40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98">
        <v>46104.0</v>
      </c>
      <c r="B109" s="41" t="s">
        <v>406</v>
      </c>
      <c r="C109" s="41">
        <v>21.0</v>
      </c>
      <c r="D109" s="99" t="s">
        <v>40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B110" s="41" t="s">
        <v>138</v>
      </c>
      <c r="C110" s="41">
        <v>300.0</v>
      </c>
      <c r="D110" s="99" t="s">
        <v>101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B111" s="41" t="s">
        <v>152</v>
      </c>
      <c r="C111" s="41">
        <v>17.0</v>
      </c>
      <c r="D111" s="99" t="s">
        <v>40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41" t="s">
        <v>369</v>
      </c>
      <c r="C112" s="44">
        <f>119-34-34</f>
        <v>51</v>
      </c>
      <c r="D112" s="99" t="s">
        <v>40</v>
      </c>
      <c r="E112" s="4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98">
        <v>46105.0</v>
      </c>
      <c r="B113" s="41" t="s">
        <v>152</v>
      </c>
      <c r="C113" s="41">
        <v>37.0</v>
      </c>
      <c r="D113" s="99" t="s">
        <v>40</v>
      </c>
      <c r="E113" s="4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B114" s="41" t="s">
        <v>160</v>
      </c>
      <c r="C114" s="44">
        <f>131-32-32</f>
        <v>67</v>
      </c>
      <c r="D114" s="99" t="s">
        <v>40</v>
      </c>
      <c r="E114" s="4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B115" s="41" t="s">
        <v>343</v>
      </c>
      <c r="C115" s="41">
        <v>20.0</v>
      </c>
      <c r="D115" s="99" t="s">
        <v>40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98">
        <v>46106.0</v>
      </c>
      <c r="B116" s="41" t="s">
        <v>152</v>
      </c>
      <c r="C116" s="41">
        <v>43.0</v>
      </c>
      <c r="D116" s="99" t="s">
        <v>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B117" s="41" t="s">
        <v>80</v>
      </c>
      <c r="C117" s="44">
        <f>114-50</f>
        <v>64</v>
      </c>
      <c r="D117" s="99" t="s">
        <v>40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B118" s="41" t="s">
        <v>54</v>
      </c>
      <c r="C118" s="41">
        <v>55.0</v>
      </c>
      <c r="D118" s="99" t="s">
        <v>40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B119" s="41" t="s">
        <v>343</v>
      </c>
      <c r="C119" s="41">
        <v>40.0</v>
      </c>
      <c r="D119" s="99" t="s">
        <v>40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B120" s="41" t="s">
        <v>407</v>
      </c>
      <c r="C120" s="41">
        <v>70.0</v>
      </c>
      <c r="D120" s="99" t="s">
        <v>40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98">
        <v>46107.0</v>
      </c>
      <c r="B121" s="41" t="s">
        <v>60</v>
      </c>
      <c r="C121" s="41">
        <v>140.0</v>
      </c>
      <c r="D121" s="99" t="s">
        <v>40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B122" s="41" t="s">
        <v>41</v>
      </c>
      <c r="C122" s="41">
        <v>200.0</v>
      </c>
      <c r="D122" s="99" t="s">
        <v>101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B123" s="41" t="s">
        <v>343</v>
      </c>
      <c r="C123" s="41">
        <v>40.0</v>
      </c>
      <c r="D123" s="99" t="s">
        <v>40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B124" s="41" t="s">
        <v>408</v>
      </c>
      <c r="C124" s="41">
        <v>30.0</v>
      </c>
      <c r="D124" s="99" t="s">
        <v>40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B125" s="41" t="s">
        <v>103</v>
      </c>
      <c r="C125" s="41">
        <v>68.0</v>
      </c>
      <c r="D125" s="99" t="s">
        <v>48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B126" s="41" t="s">
        <v>136</v>
      </c>
      <c r="C126" s="41">
        <v>22.0</v>
      </c>
      <c r="D126" s="99" t="s">
        <v>40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98">
        <v>46108.0</v>
      </c>
      <c r="B127" s="41" t="s">
        <v>136</v>
      </c>
      <c r="C127" s="41">
        <v>22.0</v>
      </c>
      <c r="D127" s="99" t="s">
        <v>40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B128" s="41" t="s">
        <v>409</v>
      </c>
      <c r="C128" s="41">
        <v>65.0</v>
      </c>
      <c r="D128" s="99" t="s">
        <v>40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B129" s="41" t="s">
        <v>136</v>
      </c>
      <c r="C129" s="41">
        <v>22.0</v>
      </c>
      <c r="D129" s="99" t="s">
        <v>40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B130" s="41" t="s">
        <v>410</v>
      </c>
      <c r="C130" s="41">
        <v>82.0</v>
      </c>
      <c r="D130" s="99" t="s">
        <v>40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B131" s="41" t="s">
        <v>108</v>
      </c>
      <c r="C131" s="41">
        <v>100.0</v>
      </c>
      <c r="D131" s="99" t="s">
        <v>34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98">
        <v>46109.0</v>
      </c>
      <c r="B132" s="41" t="s">
        <v>185</v>
      </c>
      <c r="C132" s="41">
        <v>595.0</v>
      </c>
      <c r="D132" s="99" t="s">
        <v>48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B133" s="41" t="s">
        <v>50</v>
      </c>
      <c r="C133" s="41">
        <v>55.0</v>
      </c>
      <c r="D133" s="99" t="s">
        <v>40</v>
      </c>
      <c r="E133" s="41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B134" s="41" t="s">
        <v>235</v>
      </c>
      <c r="C134" s="41">
        <v>24.0</v>
      </c>
      <c r="D134" s="99" t="s">
        <v>40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98"/>
      <c r="B135" s="44"/>
      <c r="C135" s="44"/>
      <c r="D135" s="99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98"/>
      <c r="B136" s="44"/>
      <c r="C136" s="44"/>
      <c r="D136" s="99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33"/>
      <c r="B137" s="44"/>
      <c r="C137" s="44"/>
      <c r="D137" s="99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33"/>
      <c r="B138" s="44"/>
      <c r="C138" s="44"/>
      <c r="D138" s="99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33"/>
      <c r="B139" s="44"/>
      <c r="C139" s="44"/>
      <c r="D139" s="99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33"/>
      <c r="B140" s="44"/>
      <c r="C140" s="44"/>
      <c r="D140" s="99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33"/>
      <c r="B141" s="44"/>
      <c r="C141" s="44"/>
      <c r="D141" s="99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33"/>
      <c r="B142" s="44"/>
      <c r="C142" s="44"/>
      <c r="D142" s="99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33"/>
      <c r="B143" s="44"/>
      <c r="C143" s="44"/>
      <c r="D143" s="99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33"/>
      <c r="B144" s="44"/>
      <c r="C144" s="44"/>
      <c r="D144" s="99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33"/>
      <c r="B145" s="44"/>
      <c r="C145" s="44"/>
      <c r="D145" s="99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33"/>
      <c r="B146" s="44"/>
      <c r="C146" s="44"/>
      <c r="D146" s="4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33"/>
      <c r="B147" s="44"/>
      <c r="C147" s="44"/>
      <c r="D147" s="4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4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4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4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4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4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4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4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4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4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4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4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4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4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4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4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4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4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4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4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4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4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4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4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4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4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4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4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4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4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4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4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4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4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4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4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4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4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4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4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4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4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4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4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4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4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4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4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4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4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4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4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4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4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4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4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4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4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4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4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4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4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4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4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4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4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4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4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4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4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4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4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4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4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4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4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4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4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4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4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4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4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4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4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4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4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4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4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4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4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4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4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4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4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4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4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4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4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4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4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4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4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4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4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4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4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4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4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4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4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4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4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4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4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4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4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4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4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4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4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4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4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4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4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4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4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4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4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4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4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4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4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4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4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4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4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4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4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4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4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4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4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4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4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4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4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4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4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4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4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4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4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4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4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4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4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4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4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4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4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4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4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4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4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4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4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4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4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4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4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4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4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4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4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4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4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4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4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4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4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4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4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4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4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4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4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4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4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4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4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4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4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4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4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4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4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4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4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4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4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4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4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4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4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4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4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4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4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4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4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4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4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4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4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4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4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4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4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4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4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4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4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4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4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4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4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4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4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4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4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4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4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4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4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4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4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4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4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4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4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4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4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4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4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4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4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4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4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4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4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4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4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4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4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4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4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4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4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4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4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4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4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4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4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4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4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4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4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4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4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4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4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4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4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4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4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4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4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4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4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4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4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4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4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4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4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4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4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4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4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4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4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4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4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4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4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4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4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4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4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4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4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4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4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4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4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4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4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4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4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4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4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4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4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4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4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4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4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4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4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4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4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4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4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4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4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4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4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4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4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4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4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4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4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4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4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4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4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4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4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4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4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4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4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4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4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4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4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4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4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4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4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4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4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4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4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4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4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4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4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4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4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4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4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4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4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4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4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4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4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4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4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4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4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4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4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4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4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4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4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4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4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4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4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4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4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4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4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4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4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4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4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4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4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4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4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4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4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4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4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4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4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4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4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4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4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4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4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4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4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4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4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4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4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4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4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4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4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4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4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4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4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4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4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4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4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4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4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4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4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4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4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4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4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4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4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4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4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4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4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4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4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4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4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4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4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4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4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4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4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4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4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4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4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4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4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4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4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4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4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4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4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4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4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4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4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4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4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4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4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4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4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4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4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4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4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4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4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4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4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4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4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4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4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4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4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4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4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4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4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4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4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4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4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4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4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4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4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4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4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4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4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4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4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4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4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4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4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4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4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4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4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4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4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4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4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4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4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4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4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4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4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4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4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4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4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4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4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4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4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4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4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4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4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4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4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4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4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4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4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4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4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4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4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4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4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4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4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4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4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4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4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4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4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4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4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4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4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4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4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4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4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4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4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4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4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4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4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4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4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4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4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4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4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4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4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4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4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4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4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4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4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4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4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4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4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4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4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4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4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4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4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4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4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4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4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4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4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4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4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4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4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4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4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4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4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4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4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4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4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4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4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4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4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4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4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4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4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4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4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4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4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4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4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4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4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4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4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4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4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4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4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4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4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4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4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4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4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4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4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4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4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4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4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4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4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4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4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4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4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4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4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4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4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4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4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4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4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4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4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4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4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4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4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4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4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4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4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4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4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4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4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4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4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4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4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4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4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4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4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4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4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4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4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4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4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4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4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4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4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4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4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4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4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4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4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4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4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4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4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4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4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4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4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4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4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4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4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4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4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4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4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4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4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4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4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4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4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4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4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4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4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4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4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4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4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4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4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4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4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4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4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4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4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4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4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4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4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4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4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4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4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4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4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4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4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4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4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4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4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4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4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4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4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4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4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4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4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4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4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4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4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4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4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4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4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4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4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4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4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4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4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4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4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4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4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4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4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4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4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4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4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4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4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4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4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4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4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4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4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4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4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4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4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4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4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4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4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4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4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4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4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4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4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4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4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4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4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4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4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4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4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4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4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4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4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4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4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4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4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4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4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4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4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4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4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4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4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4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4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4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4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4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4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4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4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4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4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4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4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4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4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4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4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4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4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4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4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42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42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4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42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42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42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42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42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42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mergeCells count="39">
    <mergeCell ref="G18:H18"/>
    <mergeCell ref="G19:H19"/>
    <mergeCell ref="F24:J24"/>
    <mergeCell ref="A2:A9"/>
    <mergeCell ref="F2:F3"/>
    <mergeCell ref="F8:F9"/>
    <mergeCell ref="G13:H13"/>
    <mergeCell ref="G14:H14"/>
    <mergeCell ref="G15:H15"/>
    <mergeCell ref="G16:H16"/>
    <mergeCell ref="A10:A16"/>
    <mergeCell ref="A17:A21"/>
    <mergeCell ref="A22:A23"/>
    <mergeCell ref="A24:A28"/>
    <mergeCell ref="A29:A31"/>
    <mergeCell ref="A32:A36"/>
    <mergeCell ref="A37:A42"/>
    <mergeCell ref="A43:A44"/>
    <mergeCell ref="A46:A50"/>
    <mergeCell ref="A51:A52"/>
    <mergeCell ref="A53:A55"/>
    <mergeCell ref="A56:A58"/>
    <mergeCell ref="A59:A60"/>
    <mergeCell ref="A61:A63"/>
    <mergeCell ref="A95:A103"/>
    <mergeCell ref="A104:A108"/>
    <mergeCell ref="A109:A112"/>
    <mergeCell ref="A113:A115"/>
    <mergeCell ref="A116:A120"/>
    <mergeCell ref="A121:A126"/>
    <mergeCell ref="A127:A131"/>
    <mergeCell ref="A132:A134"/>
    <mergeCell ref="A64:A70"/>
    <mergeCell ref="A71:A77"/>
    <mergeCell ref="A78:A79"/>
    <mergeCell ref="A80:A83"/>
    <mergeCell ref="A84:A86"/>
    <mergeCell ref="A87:A90"/>
    <mergeCell ref="A91:A94"/>
  </mergeCells>
  <conditionalFormatting sqref="F27:J107">
    <cfRule type="expression" dxfId="0" priority="1">
      <formula>$I27=TRUE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13"/>
    <col customWidth="1" min="4" max="4" width="21.88"/>
    <col customWidth="1" min="5" max="5" width="15.63"/>
    <col customWidth="1" min="6" max="6" width="24.38"/>
    <col customWidth="1" min="7" max="7" width="41.38"/>
    <col customWidth="1" min="8" max="8" width="14.38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8">
        <v>46051.0</v>
      </c>
      <c r="B2" s="41" t="s">
        <v>114</v>
      </c>
      <c r="C2" s="41">
        <v>12.0</v>
      </c>
      <c r="D2" s="99" t="s">
        <v>40</v>
      </c>
      <c r="E2" s="5"/>
      <c r="F2" s="100">
        <v>46051.0</v>
      </c>
      <c r="G2" s="101" t="s">
        <v>411</v>
      </c>
      <c r="H2" s="141">
        <f>21691+65</f>
        <v>21756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41" t="s">
        <v>91</v>
      </c>
      <c r="C3" s="41">
        <v>65.0</v>
      </c>
      <c r="D3" s="99" t="s">
        <v>40</v>
      </c>
      <c r="E3" s="5"/>
      <c r="F3" s="103">
        <v>46053.0</v>
      </c>
      <c r="G3" s="41" t="s">
        <v>412</v>
      </c>
      <c r="H3" s="104">
        <v>4000.0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1" t="s">
        <v>41</v>
      </c>
      <c r="C4" s="41">
        <v>3000.0</v>
      </c>
      <c r="D4" s="99" t="s">
        <v>413</v>
      </c>
      <c r="E4" s="5"/>
      <c r="F4" s="103">
        <v>46054.0</v>
      </c>
      <c r="G4" s="41" t="s">
        <v>227</v>
      </c>
      <c r="H4" s="104">
        <v>300.0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8">
        <v>46052.0</v>
      </c>
      <c r="B5" s="41" t="s">
        <v>414</v>
      </c>
      <c r="C5" s="41">
        <v>0.0</v>
      </c>
      <c r="D5" s="99" t="s">
        <v>40</v>
      </c>
      <c r="E5" s="41"/>
      <c r="F5" s="103">
        <v>46058.0</v>
      </c>
      <c r="G5" s="41" t="s">
        <v>415</v>
      </c>
      <c r="H5" s="104">
        <v>21235.0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41" t="s">
        <v>416</v>
      </c>
      <c r="C6" s="41">
        <v>500.0</v>
      </c>
      <c r="D6" s="99" t="s">
        <v>417</v>
      </c>
      <c r="E6" s="5"/>
      <c r="F6" s="103">
        <v>46060.0</v>
      </c>
      <c r="G6" s="41" t="s">
        <v>157</v>
      </c>
      <c r="H6" s="104">
        <v>5545.0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41" t="s">
        <v>80</v>
      </c>
      <c r="C7" s="41">
        <v>83.0</v>
      </c>
      <c r="D7" s="99" t="s">
        <v>40</v>
      </c>
      <c r="E7" s="5"/>
      <c r="F7" s="103">
        <v>46064.0</v>
      </c>
      <c r="G7" s="41" t="s">
        <v>206</v>
      </c>
      <c r="H7" s="104">
        <v>12000.0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41" t="s">
        <v>35</v>
      </c>
      <c r="C8" s="41">
        <v>2500.0</v>
      </c>
      <c r="D8" s="99" t="s">
        <v>418</v>
      </c>
      <c r="E8" s="5"/>
      <c r="F8" s="103">
        <v>46068.0</v>
      </c>
      <c r="G8" s="41" t="s">
        <v>159</v>
      </c>
      <c r="H8" s="104">
        <v>1500.0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41" t="s">
        <v>419</v>
      </c>
      <c r="C9" s="41">
        <v>500.0</v>
      </c>
      <c r="D9" s="99" t="s">
        <v>419</v>
      </c>
      <c r="E9" s="5"/>
      <c r="F9" s="103">
        <v>46069.0</v>
      </c>
      <c r="G9" s="41" t="s">
        <v>420</v>
      </c>
      <c r="H9" s="104">
        <v>1800.0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B10" s="41" t="s">
        <v>421</v>
      </c>
      <c r="C10" s="41">
        <v>1000.0</v>
      </c>
      <c r="D10" s="99" t="s">
        <v>421</v>
      </c>
      <c r="E10" s="5"/>
      <c r="F10" s="103">
        <v>46070.0</v>
      </c>
      <c r="G10" s="41" t="s">
        <v>422</v>
      </c>
      <c r="H10" s="104">
        <v>100.0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B11" s="41" t="s">
        <v>84</v>
      </c>
      <c r="C11" s="41">
        <v>1000.0</v>
      </c>
      <c r="D11" s="99" t="s">
        <v>84</v>
      </c>
      <c r="E11" s="5"/>
      <c r="F11" s="103">
        <v>46074.0</v>
      </c>
      <c r="G11" s="41" t="s">
        <v>206</v>
      </c>
      <c r="H11" s="104">
        <v>1500.0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8">
        <v>46053.0</v>
      </c>
      <c r="B12" s="41" t="s">
        <v>86</v>
      </c>
      <c r="C12" s="41">
        <f>120+2000+539+640</f>
        <v>3299</v>
      </c>
      <c r="D12" s="99" t="s">
        <v>86</v>
      </c>
      <c r="E12" s="5"/>
      <c r="F12" s="103">
        <v>46076.0</v>
      </c>
      <c r="G12" s="113" t="s">
        <v>423</v>
      </c>
      <c r="H12" s="114">
        <v>100.0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41" t="s">
        <v>424</v>
      </c>
      <c r="C13" s="41">
        <v>100.0</v>
      </c>
      <c r="D13" s="99" t="s">
        <v>40</v>
      </c>
      <c r="E13" s="5"/>
      <c r="F13" s="117" t="s">
        <v>49</v>
      </c>
      <c r="G13" s="116">
        <f>SUM(H2:H12)</f>
        <v>69836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41" t="s">
        <v>211</v>
      </c>
      <c r="C14" s="41">
        <v>109.0</v>
      </c>
      <c r="D14" s="99" t="s">
        <v>40</v>
      </c>
      <c r="E14" s="5"/>
      <c r="F14" s="117" t="s">
        <v>51</v>
      </c>
      <c r="G14" s="118">
        <f>SUMIF(D2:D221, "&lt;&gt;Credit", C2:C529) + G15</f>
        <v>69779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41" t="s">
        <v>265</v>
      </c>
      <c r="C15" s="41">
        <v>65.0</v>
      </c>
      <c r="D15" s="99" t="s">
        <v>40</v>
      </c>
      <c r="E15" s="5"/>
      <c r="F15" s="117" t="s">
        <v>53</v>
      </c>
      <c r="G15" s="119">
        <f>5+359+57-37+5+541+41</f>
        <v>971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B16" s="41" t="s">
        <v>295</v>
      </c>
      <c r="C16" s="41">
        <v>548.0</v>
      </c>
      <c r="D16" s="99" t="s">
        <v>40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B17" s="41" t="s">
        <v>425</v>
      </c>
      <c r="C17" s="41">
        <v>110.0</v>
      </c>
      <c r="D17" s="99" t="s">
        <v>40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B18" s="41" t="s">
        <v>2</v>
      </c>
      <c r="C18" s="41">
        <v>5000.0</v>
      </c>
      <c r="D18" s="99" t="s">
        <v>2</v>
      </c>
      <c r="E18" s="5"/>
      <c r="F18" s="117" t="s">
        <v>57</v>
      </c>
      <c r="G18" s="121">
        <f>G13-G14-J26</f>
        <v>57</v>
      </c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B19" s="41" t="s">
        <v>426</v>
      </c>
      <c r="C19" s="41">
        <v>26.0</v>
      </c>
      <c r="D19" s="99" t="s">
        <v>40</v>
      </c>
      <c r="E19" s="5"/>
      <c r="F19" s="117" t="s">
        <v>59</v>
      </c>
      <c r="G19" s="122">
        <f>G13-G14</f>
        <v>57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8">
        <v>46054.0</v>
      </c>
      <c r="B20" s="41" t="s">
        <v>427</v>
      </c>
      <c r="C20" s="41">
        <v>3000.0</v>
      </c>
      <c r="D20" s="99" t="s">
        <v>34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B21" s="41" t="s">
        <v>364</v>
      </c>
      <c r="C21" s="41">
        <v>205.0</v>
      </c>
      <c r="D21" s="99" t="s">
        <v>40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41" t="s">
        <v>37</v>
      </c>
      <c r="C22" s="41">
        <v>50.0</v>
      </c>
      <c r="D22" s="99" t="s">
        <v>40</v>
      </c>
      <c r="E22" s="5"/>
      <c r="F22" s="124" t="s">
        <v>40</v>
      </c>
      <c r="G22" s="19">
        <v>8000.0</v>
      </c>
      <c r="H22" s="37">
        <f>SUMIF(D2:D144, "=Living expense",C2:C162)+G15</f>
        <v>12898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41" t="s">
        <v>428</v>
      </c>
      <c r="C23" s="41">
        <v>572.0</v>
      </c>
      <c r="D23" s="99" t="s">
        <v>48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B24" s="41" t="s">
        <v>429</v>
      </c>
      <c r="C24" s="41">
        <v>219.0</v>
      </c>
      <c r="D24" s="99" t="s">
        <v>40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41" t="s">
        <v>93</v>
      </c>
      <c r="C25" s="41">
        <v>60.0</v>
      </c>
      <c r="D25" s="99" t="s">
        <v>40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8">
        <v>46055.0</v>
      </c>
      <c r="B26" s="41" t="s">
        <v>120</v>
      </c>
      <c r="C26" s="41">
        <v>7.0</v>
      </c>
      <c r="D26" s="99" t="s">
        <v>40</v>
      </c>
      <c r="E26" s="5"/>
      <c r="F26" s="126" t="s">
        <v>73</v>
      </c>
      <c r="G26" s="127">
        <f t="shared" ref="G26:H26" si="1">SUM(G27:G104)</f>
        <v>32620</v>
      </c>
      <c r="H26" s="128">
        <f t="shared" si="1"/>
        <v>50662</v>
      </c>
      <c r="I26" s="142"/>
      <c r="J26" s="128">
        <f>SUM(J27:J104)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B27" s="41" t="s">
        <v>430</v>
      </c>
      <c r="C27" s="41">
        <v>15.0</v>
      </c>
      <c r="D27" s="99" t="s">
        <v>66</v>
      </c>
      <c r="E27" s="5"/>
      <c r="F27" s="105" t="s">
        <v>66</v>
      </c>
      <c r="G27" s="107">
        <v>6400.0</v>
      </c>
      <c r="H27" s="130">
        <f>IFERROR(__xludf.DUMMYFUNCTION("SUMIF($D$2:$D$520, TO_TEXT(F27) ,$C$2:$C$520)"),6424.0)</f>
        <v>6424</v>
      </c>
      <c r="I27" s="41" t="b">
        <v>1</v>
      </c>
      <c r="J27" s="42">
        <f t="shared" ref="J27:J40" si="2">IF(I27=TRUE,0,MAX(G27-H27,0))</f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B28" s="41" t="s">
        <v>431</v>
      </c>
      <c r="C28" s="41">
        <v>300.0</v>
      </c>
      <c r="D28" s="99" t="s">
        <v>66</v>
      </c>
      <c r="E28" s="5"/>
      <c r="F28" s="105" t="s">
        <v>413</v>
      </c>
      <c r="G28" s="107">
        <v>7000.0</v>
      </c>
      <c r="H28" s="130">
        <f>IFERROR(__xludf.DUMMYFUNCTION("SUMIF($D$2:$D$520, TO_TEXT(F28) ,$C$2:$C$520)"),7330.0)</f>
        <v>7330</v>
      </c>
      <c r="I28" s="99" t="b">
        <v>1</v>
      </c>
      <c r="J28" s="130">
        <f t="shared" si="2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B29" s="41" t="s">
        <v>432</v>
      </c>
      <c r="C29" s="41">
        <v>16.0</v>
      </c>
      <c r="D29" s="99" t="s">
        <v>40</v>
      </c>
      <c r="E29" s="5"/>
      <c r="F29" s="41" t="s">
        <v>2</v>
      </c>
      <c r="G29" s="99">
        <v>5000.0</v>
      </c>
      <c r="H29" s="130">
        <f>IFERROR(__xludf.DUMMYFUNCTION("SUMIF($D$2:$D$520, TO_TEXT(F29) ,$C$2:$C$520)"),5000.0)</f>
        <v>5000</v>
      </c>
      <c r="I29" s="99" t="b">
        <v>1</v>
      </c>
      <c r="J29" s="130">
        <f t="shared" si="2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B30" s="41" t="s">
        <v>301</v>
      </c>
      <c r="C30" s="41">
        <v>33.0</v>
      </c>
      <c r="D30" s="99" t="s">
        <v>40</v>
      </c>
      <c r="E30" s="5"/>
      <c r="F30" s="143" t="s">
        <v>12</v>
      </c>
      <c r="G30" s="107">
        <v>4500.0</v>
      </c>
      <c r="H30" s="130">
        <f>IFERROR(__xludf.DUMMYFUNCTION("SUMIF($D$2:$D$520, TO_TEXT(F30) ,$C$2:$C$520)"),5000.0)</f>
        <v>5000</v>
      </c>
      <c r="I30" s="41" t="b">
        <v>1</v>
      </c>
      <c r="J30" s="42">
        <f t="shared" si="2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41" t="s">
        <v>91</v>
      </c>
      <c r="C31" s="41">
        <v>52.0</v>
      </c>
      <c r="D31" s="99" t="s">
        <v>40</v>
      </c>
      <c r="E31" s="5"/>
      <c r="F31" s="105" t="s">
        <v>418</v>
      </c>
      <c r="G31" s="107">
        <v>2500.0</v>
      </c>
      <c r="H31" s="130">
        <f>IFERROR(__xludf.DUMMYFUNCTION("SUMIF($D$2:$D$520, TO_TEXT(F31) ,$C$2:$C$520)"),17500.0)</f>
        <v>17500</v>
      </c>
      <c r="I31" s="99" t="b">
        <v>1</v>
      </c>
      <c r="J31" s="130">
        <f t="shared" si="2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8">
        <v>46056.0</v>
      </c>
      <c r="B32" s="41" t="s">
        <v>50</v>
      </c>
      <c r="C32" s="41">
        <v>30.0</v>
      </c>
      <c r="D32" s="99" t="s">
        <v>40</v>
      </c>
      <c r="E32" s="5"/>
      <c r="F32" s="41" t="s">
        <v>422</v>
      </c>
      <c r="G32" s="99">
        <v>2000.0</v>
      </c>
      <c r="H32" s="130">
        <f>IFERROR(__xludf.DUMMYFUNCTION("SUMIF($D$2:$D$520, TO_TEXT(F32) ,$C$2:$C$520)"),2300.0)</f>
        <v>2300</v>
      </c>
      <c r="I32" s="99" t="b">
        <v>1</v>
      </c>
      <c r="J32" s="130">
        <f t="shared" si="2"/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8">
        <v>46057.0</v>
      </c>
      <c r="B33" s="41" t="s">
        <v>433</v>
      </c>
      <c r="C33" s="41">
        <v>24.0</v>
      </c>
      <c r="D33" s="99" t="s">
        <v>40</v>
      </c>
      <c r="E33" s="5"/>
      <c r="F33" s="41" t="s">
        <v>95</v>
      </c>
      <c r="G33" s="99">
        <v>1000.0</v>
      </c>
      <c r="H33" s="130">
        <f>IFERROR(__xludf.DUMMYFUNCTION("SUMIF($D$2:$D$520, TO_TEXT(F33) ,$C$2:$C$520)"),89.0)</f>
        <v>89</v>
      </c>
      <c r="I33" s="99" t="b">
        <v>1</v>
      </c>
      <c r="J33" s="130">
        <f t="shared" si="2"/>
        <v>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B34" s="41" t="s">
        <v>392</v>
      </c>
      <c r="C34" s="41">
        <f>184-33-33-37-37</f>
        <v>44</v>
      </c>
      <c r="D34" s="99" t="s">
        <v>40</v>
      </c>
      <c r="E34" s="41"/>
      <c r="F34" s="105" t="s">
        <v>84</v>
      </c>
      <c r="G34" s="107">
        <v>1000.0</v>
      </c>
      <c r="H34" s="130">
        <f>IFERROR(__xludf.DUMMYFUNCTION("SUMIF($D$2:$D$520, TO_TEXT(F34) ,$C$2:$C$520)"),1000.0)</f>
        <v>1000</v>
      </c>
      <c r="I34" s="99" t="b">
        <v>1</v>
      </c>
      <c r="J34" s="130">
        <f t="shared" si="2"/>
        <v>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41" t="s">
        <v>80</v>
      </c>
      <c r="C35" s="41">
        <v>83.0</v>
      </c>
      <c r="D35" s="99" t="s">
        <v>40</v>
      </c>
      <c r="E35" s="5"/>
      <c r="F35" s="41" t="s">
        <v>421</v>
      </c>
      <c r="G35" s="99">
        <v>1000.0</v>
      </c>
      <c r="H35" s="130">
        <f>IFERROR(__xludf.DUMMYFUNCTION("SUMIF($D$2:$D$520, TO_TEXT(F35) ,$C$2:$C$520)"),1000.0)</f>
        <v>1000</v>
      </c>
      <c r="I35" s="99" t="b">
        <v>1</v>
      </c>
      <c r="J35" s="130">
        <f t="shared" si="2"/>
        <v>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B36" s="41" t="s">
        <v>166</v>
      </c>
      <c r="C36" s="41">
        <v>720.0</v>
      </c>
      <c r="D36" s="99" t="s">
        <v>434</v>
      </c>
      <c r="E36" s="5"/>
      <c r="F36" s="41" t="s">
        <v>434</v>
      </c>
      <c r="G36" s="99">
        <v>720.0</v>
      </c>
      <c r="H36" s="130">
        <f>IFERROR(__xludf.DUMMYFUNCTION("SUMIF($D$2:$D$520, TO_TEXT(F36) ,$C$2:$C$520)"),720.0)</f>
        <v>720</v>
      </c>
      <c r="I36" s="99" t="b">
        <v>1</v>
      </c>
      <c r="J36" s="130">
        <f t="shared" si="2"/>
        <v>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8">
        <v>46058.0</v>
      </c>
      <c r="B37" s="41" t="s">
        <v>435</v>
      </c>
      <c r="C37" s="41">
        <v>12.0</v>
      </c>
      <c r="D37" s="99" t="s">
        <v>40</v>
      </c>
      <c r="E37" s="5"/>
      <c r="F37" s="41" t="s">
        <v>419</v>
      </c>
      <c r="G37" s="99">
        <v>500.0</v>
      </c>
      <c r="H37" s="130">
        <f>IFERROR(__xludf.DUMMYFUNCTION("SUMIF($D$2:$D$520, TO_TEXT(F37) ,$C$2:$C$520)"),500.0)</f>
        <v>500</v>
      </c>
      <c r="I37" s="99" t="b">
        <v>1</v>
      </c>
      <c r="J37" s="130">
        <f t="shared" si="2"/>
        <v>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B38" s="41" t="s">
        <v>286</v>
      </c>
      <c r="C38" s="41">
        <v>40.0</v>
      </c>
      <c r="D38" s="99" t="s">
        <v>40</v>
      </c>
      <c r="E38" s="5"/>
      <c r="F38" s="41" t="s">
        <v>436</v>
      </c>
      <c r="G38" s="99">
        <v>500.0</v>
      </c>
      <c r="H38" s="130">
        <f>IFERROR(__xludf.DUMMYFUNCTION("SUMIF($D$2:$D$520, TO_TEXT(F38) ,$C$2:$C$520)"),0.0)</f>
        <v>0</v>
      </c>
      <c r="I38" s="99" t="b">
        <v>1</v>
      </c>
      <c r="J38" s="130">
        <f t="shared" si="2"/>
        <v>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B39" s="41" t="s">
        <v>132</v>
      </c>
      <c r="C39" s="41">
        <v>30.0</v>
      </c>
      <c r="D39" s="99" t="s">
        <v>40</v>
      </c>
      <c r="E39" s="5"/>
      <c r="F39" s="41" t="s">
        <v>417</v>
      </c>
      <c r="G39" s="99">
        <v>500.0</v>
      </c>
      <c r="H39" s="130">
        <f>IFERROR(__xludf.DUMMYFUNCTION("SUMIF($D$2:$D$520, TO_TEXT(F39) ,$C$2:$C$520)"),500.0)</f>
        <v>500</v>
      </c>
      <c r="I39" s="99" t="b">
        <v>1</v>
      </c>
      <c r="J39" s="130">
        <f t="shared" si="2"/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B40" s="41" t="s">
        <v>242</v>
      </c>
      <c r="C40" s="41">
        <v>112.0</v>
      </c>
      <c r="D40" s="99" t="s">
        <v>40</v>
      </c>
      <c r="E40" s="5"/>
      <c r="F40" s="41" t="s">
        <v>86</v>
      </c>
      <c r="G40" s="99">
        <v>0.0</v>
      </c>
      <c r="H40" s="130">
        <f>IFERROR(__xludf.DUMMYFUNCTION("SUMIF($D$2:$D$520, TO_TEXT(F40) ,$C$2:$C$520)"),3299.0)</f>
        <v>3299</v>
      </c>
      <c r="I40" s="99" t="b">
        <v>1</v>
      </c>
      <c r="J40" s="130">
        <f t="shared" si="2"/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8">
        <v>46059.0</v>
      </c>
      <c r="B41" s="41" t="s">
        <v>33</v>
      </c>
      <c r="C41" s="41">
        <v>300.0</v>
      </c>
      <c r="D41" s="99" t="s">
        <v>40</v>
      </c>
      <c r="E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B42" s="41" t="s">
        <v>66</v>
      </c>
      <c r="C42" s="41">
        <v>6000.0</v>
      </c>
      <c r="D42" s="99" t="s">
        <v>66</v>
      </c>
      <c r="E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41" t="s">
        <v>437</v>
      </c>
      <c r="C43" s="41">
        <v>7.0</v>
      </c>
      <c r="D43" s="99" t="s">
        <v>40</v>
      </c>
      <c r="E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B44" s="41" t="s">
        <v>438</v>
      </c>
      <c r="C44" s="41">
        <v>30.0</v>
      </c>
      <c r="D44" s="99" t="s">
        <v>40</v>
      </c>
      <c r="E44" s="5"/>
      <c r="F44" s="41"/>
      <c r="G44" s="99"/>
      <c r="H44" s="130"/>
      <c r="I44" s="99"/>
      <c r="J44" s="13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8">
        <v>46060.0</v>
      </c>
      <c r="B45" s="41" t="s">
        <v>439</v>
      </c>
      <c r="C45" s="41">
        <v>50.0</v>
      </c>
      <c r="D45" s="99" t="s">
        <v>40</v>
      </c>
      <c r="E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B46" s="41" t="s">
        <v>211</v>
      </c>
      <c r="C46" s="41">
        <v>109.0</v>
      </c>
      <c r="D46" s="99" t="s">
        <v>40</v>
      </c>
      <c r="E46" s="5"/>
      <c r="F46" s="41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B47" s="41" t="s">
        <v>440</v>
      </c>
      <c r="C47" s="41">
        <v>1050.0</v>
      </c>
      <c r="D47" s="99" t="s">
        <v>190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B48" s="41" t="s">
        <v>144</v>
      </c>
      <c r="C48" s="41">
        <v>40.0</v>
      </c>
      <c r="D48" s="99" t="s">
        <v>40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B49" s="41" t="s">
        <v>441</v>
      </c>
      <c r="C49" s="41">
        <v>325.0</v>
      </c>
      <c r="D49" s="99" t="s">
        <v>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B50" s="41" t="s">
        <v>442</v>
      </c>
      <c r="C50" s="41">
        <v>112.0</v>
      </c>
      <c r="D50" s="99" t="s">
        <v>40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B51" s="41" t="s">
        <v>148</v>
      </c>
      <c r="C51" s="41">
        <v>58.0</v>
      </c>
      <c r="D51" s="99" t="s">
        <v>40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B52" s="41" t="s">
        <v>301</v>
      </c>
      <c r="C52" s="41">
        <v>30.0</v>
      </c>
      <c r="D52" s="99" t="s">
        <v>40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B53" s="41" t="s">
        <v>35</v>
      </c>
      <c r="C53" s="41">
        <v>15000.0</v>
      </c>
      <c r="D53" s="99" t="s">
        <v>418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98">
        <v>46061.0</v>
      </c>
      <c r="B54" s="41" t="s">
        <v>89</v>
      </c>
      <c r="C54" s="41">
        <v>55.0</v>
      </c>
      <c r="D54" s="99" t="s">
        <v>40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41" t="s">
        <v>41</v>
      </c>
      <c r="C55" s="41">
        <v>1000.0</v>
      </c>
      <c r="D55" s="99" t="s">
        <v>413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B56" s="41" t="s">
        <v>270</v>
      </c>
      <c r="C56" s="41">
        <v>479.0</v>
      </c>
      <c r="D56" s="99" t="s">
        <v>190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B57" s="41" t="s">
        <v>443</v>
      </c>
      <c r="C57" s="41">
        <v>700.0</v>
      </c>
      <c r="D57" s="99" t="s">
        <v>190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B58" s="41" t="s">
        <v>444</v>
      </c>
      <c r="C58" s="41">
        <v>85.0</v>
      </c>
      <c r="D58" s="99" t="s">
        <v>40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B59" s="41" t="s">
        <v>153</v>
      </c>
      <c r="C59" s="41">
        <v>70.0</v>
      </c>
      <c r="D59" s="99" t="s">
        <v>40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B60" s="41" t="s">
        <v>37</v>
      </c>
      <c r="C60" s="41">
        <v>50.0</v>
      </c>
      <c r="D60" s="99" t="s">
        <v>40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B61" s="41" t="s">
        <v>445</v>
      </c>
      <c r="C61" s="41">
        <v>57.0</v>
      </c>
      <c r="D61" s="99" t="s">
        <v>40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B62" s="41" t="s">
        <v>93</v>
      </c>
      <c r="C62" s="41">
        <v>86.0</v>
      </c>
      <c r="D62" s="99" t="s">
        <v>40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98">
        <v>46062.0</v>
      </c>
      <c r="B63" s="41" t="s">
        <v>82</v>
      </c>
      <c r="C63" s="41">
        <v>40.0</v>
      </c>
      <c r="D63" s="99" t="s">
        <v>40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B64" s="41" t="s">
        <v>105</v>
      </c>
      <c r="C64" s="41">
        <v>30.0</v>
      </c>
      <c r="D64" s="99" t="s">
        <v>40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B65" s="41" t="s">
        <v>91</v>
      </c>
      <c r="C65" s="41">
        <f>67-65</f>
        <v>2</v>
      </c>
      <c r="D65" s="99" t="s">
        <v>40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98">
        <v>46063.0</v>
      </c>
      <c r="B66" s="41" t="s">
        <v>136</v>
      </c>
      <c r="C66" s="41">
        <v>18.0</v>
      </c>
      <c r="D66" s="99" t="s">
        <v>40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B67" s="41" t="s">
        <v>105</v>
      </c>
      <c r="C67" s="41">
        <v>30.0</v>
      </c>
      <c r="D67" s="99" t="s">
        <v>40</v>
      </c>
      <c r="E67" s="4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B68" s="41" t="s">
        <v>91</v>
      </c>
      <c r="C68" s="41">
        <f>110-55</f>
        <v>55</v>
      </c>
      <c r="D68" s="99" t="s">
        <v>40</v>
      </c>
      <c r="E68" s="4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8">
        <v>46064.0</v>
      </c>
      <c r="B69" s="41" t="s">
        <v>136</v>
      </c>
      <c r="C69" s="41">
        <v>18.0</v>
      </c>
      <c r="D69" s="99" t="s">
        <v>40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B70" s="41" t="s">
        <v>120</v>
      </c>
      <c r="C70" s="41">
        <v>29.0</v>
      </c>
      <c r="D70" s="99" t="s">
        <v>40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41" t="s">
        <v>105</v>
      </c>
      <c r="C71" s="41">
        <v>30.0</v>
      </c>
      <c r="D71" s="99" t="s">
        <v>40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B72" s="41" t="s">
        <v>54</v>
      </c>
      <c r="C72" s="41">
        <v>70.0</v>
      </c>
      <c r="D72" s="99" t="s">
        <v>40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B73" s="41" t="s">
        <v>151</v>
      </c>
      <c r="C73" s="41">
        <v>139.0</v>
      </c>
      <c r="D73" s="99" t="s">
        <v>40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98">
        <v>46065.0</v>
      </c>
      <c r="B74" s="41" t="s">
        <v>446</v>
      </c>
      <c r="C74" s="41">
        <v>54.0</v>
      </c>
      <c r="D74" s="99" t="s">
        <v>48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B75" s="41" t="s">
        <v>41</v>
      </c>
      <c r="C75" s="41">
        <v>1400.0</v>
      </c>
      <c r="D75" s="99" t="s">
        <v>413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41" t="s">
        <v>367</v>
      </c>
      <c r="C76" s="41">
        <v>40.0</v>
      </c>
      <c r="D76" s="99" t="s">
        <v>40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B77" s="41" t="s">
        <v>447</v>
      </c>
      <c r="C77" s="41">
        <v>94.0</v>
      </c>
      <c r="D77" s="99" t="s">
        <v>40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B78" s="41" t="s">
        <v>448</v>
      </c>
      <c r="C78" s="41">
        <v>930.0</v>
      </c>
      <c r="D78" s="99" t="s">
        <v>413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B79" s="41" t="s">
        <v>449</v>
      </c>
      <c r="C79" s="41">
        <v>95.0</v>
      </c>
      <c r="D79" s="99" t="s">
        <v>40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B80" s="41" t="s">
        <v>335</v>
      </c>
      <c r="C80" s="41">
        <v>109.0</v>
      </c>
      <c r="D80" s="99" t="s">
        <v>66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8">
        <v>46066.0</v>
      </c>
      <c r="B81" s="41" t="s">
        <v>50</v>
      </c>
      <c r="C81" s="41">
        <v>94.0</v>
      </c>
      <c r="D81" s="99" t="s">
        <v>40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B82" s="41" t="s">
        <v>450</v>
      </c>
      <c r="C82" s="41">
        <v>990.0</v>
      </c>
      <c r="D82" s="99" t="s">
        <v>190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B83" s="41" t="s">
        <v>37</v>
      </c>
      <c r="C83" s="41">
        <v>50.0</v>
      </c>
      <c r="D83" s="99" t="s">
        <v>40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41" t="s">
        <v>41</v>
      </c>
      <c r="C84" s="41">
        <v>1000.0</v>
      </c>
      <c r="D84" s="99" t="s">
        <v>413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98">
        <v>46067.0</v>
      </c>
      <c r="B85" s="41" t="s">
        <v>113</v>
      </c>
      <c r="C85" s="41">
        <f>69</f>
        <v>69</v>
      </c>
      <c r="D85" s="99" t="s">
        <v>95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B86" s="41" t="s">
        <v>50</v>
      </c>
      <c r="C86" s="41">
        <v>193.0</v>
      </c>
      <c r="D86" s="99" t="s">
        <v>40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B87" s="41" t="s">
        <v>151</v>
      </c>
      <c r="C87" s="41">
        <v>124.0</v>
      </c>
      <c r="D87" s="99" t="s">
        <v>40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B88" s="41" t="s">
        <v>451</v>
      </c>
      <c r="C88" s="41">
        <v>220.0</v>
      </c>
      <c r="D88" s="99" t="s">
        <v>40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98">
        <v>46068.0</v>
      </c>
      <c r="B89" s="41" t="s">
        <v>452</v>
      </c>
      <c r="C89" s="41">
        <v>20.0</v>
      </c>
      <c r="D89" s="99" t="s">
        <v>95</v>
      </c>
      <c r="E89" s="4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B90" s="41" t="s">
        <v>453</v>
      </c>
      <c r="C90" s="41">
        <v>1204.0</v>
      </c>
      <c r="D90" s="99" t="s">
        <v>48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B91" s="41" t="s">
        <v>168</v>
      </c>
      <c r="C91" s="41">
        <v>193.0</v>
      </c>
      <c r="D91" s="99" t="s">
        <v>48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41" t="s">
        <v>12</v>
      </c>
      <c r="C92" s="41">
        <v>5000.0</v>
      </c>
      <c r="D92" s="99" t="s">
        <v>12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B93" s="41" t="s">
        <v>41</v>
      </c>
      <c r="C93" s="41">
        <v>500.0</v>
      </c>
      <c r="D93" s="99" t="s">
        <v>40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98">
        <v>46069.0</v>
      </c>
      <c r="B94" s="41" t="s">
        <v>151</v>
      </c>
      <c r="C94" s="41">
        <v>44.0</v>
      </c>
      <c r="D94" s="99" t="s">
        <v>40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B95" s="41" t="s">
        <v>454</v>
      </c>
      <c r="C95" s="41">
        <v>185.0</v>
      </c>
      <c r="D95" s="99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B96" s="41" t="s">
        <v>112</v>
      </c>
      <c r="C96" s="41">
        <v>65.0</v>
      </c>
      <c r="D96" s="99" t="s">
        <v>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B97" s="41" t="s">
        <v>455</v>
      </c>
      <c r="C97" s="41">
        <v>20.0</v>
      </c>
      <c r="D97" s="99" t="s">
        <v>40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98">
        <v>46070.0</v>
      </c>
      <c r="B98" s="41" t="s">
        <v>422</v>
      </c>
      <c r="C98" s="41">
        <v>1300.0</v>
      </c>
      <c r="D98" s="99" t="s">
        <v>422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B99" s="41" t="s">
        <v>456</v>
      </c>
      <c r="C99" s="41">
        <v>30.0</v>
      </c>
      <c r="D99" s="99" t="s">
        <v>40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B100" s="41" t="s">
        <v>457</v>
      </c>
      <c r="C100" s="41">
        <v>1000.0</v>
      </c>
      <c r="D100" s="99" t="s">
        <v>422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B101" s="41" t="s">
        <v>456</v>
      </c>
      <c r="C101" s="41">
        <v>100.0</v>
      </c>
      <c r="D101" s="99" t="s">
        <v>40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98">
        <v>46071.0</v>
      </c>
      <c r="B102" s="41" t="s">
        <v>113</v>
      </c>
      <c r="C102" s="41">
        <v>967.0</v>
      </c>
      <c r="D102" s="99" t="s">
        <v>48</v>
      </c>
      <c r="E102" s="4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B103" s="41" t="s">
        <v>181</v>
      </c>
      <c r="C103" s="41">
        <v>1086.0</v>
      </c>
      <c r="D103" s="99" t="s">
        <v>40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98">
        <v>46072.0</v>
      </c>
      <c r="B104" s="41" t="s">
        <v>113</v>
      </c>
      <c r="C104" s="41">
        <f>821</f>
        <v>821</v>
      </c>
      <c r="D104" s="99" t="s">
        <v>48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B105" s="41" t="s">
        <v>422</v>
      </c>
      <c r="C105" s="41">
        <v>500.0</v>
      </c>
      <c r="D105" s="99" t="s">
        <v>40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B106" s="41" t="s">
        <v>89</v>
      </c>
      <c r="C106" s="41">
        <v>159.0</v>
      </c>
      <c r="D106" s="99" t="s">
        <v>40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B107" s="41" t="s">
        <v>181</v>
      </c>
      <c r="C107" s="41">
        <f>60</f>
        <v>60</v>
      </c>
      <c r="D107" s="99" t="s">
        <v>40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B108" s="41" t="s">
        <v>140</v>
      </c>
      <c r="C108" s="41">
        <v>241.0</v>
      </c>
      <c r="D108" s="99" t="s">
        <v>40</v>
      </c>
      <c r="E108" s="4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B109" s="41" t="s">
        <v>458</v>
      </c>
      <c r="C109" s="41">
        <v>281.0</v>
      </c>
      <c r="D109" s="99" t="s">
        <v>40</v>
      </c>
      <c r="E109" s="4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98">
        <v>46073.0</v>
      </c>
      <c r="B110" s="41" t="s">
        <v>151</v>
      </c>
      <c r="C110" s="41">
        <v>136.0</v>
      </c>
      <c r="D110" s="99" t="s">
        <v>40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B111" s="41" t="s">
        <v>105</v>
      </c>
      <c r="C111" s="41">
        <v>80.0</v>
      </c>
      <c r="D111" s="99" t="s">
        <v>40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41" t="s">
        <v>113</v>
      </c>
      <c r="C112" s="41">
        <f>124+112</f>
        <v>236</v>
      </c>
      <c r="D112" s="99" t="s">
        <v>48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B113" s="41" t="s">
        <v>459</v>
      </c>
      <c r="C113" s="41">
        <v>915.0</v>
      </c>
      <c r="D113" s="99" t="s">
        <v>40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98">
        <v>46074.0</v>
      </c>
      <c r="B114" s="41" t="s">
        <v>109</v>
      </c>
      <c r="C114" s="41">
        <v>35.0</v>
      </c>
      <c r="D114" s="99" t="s">
        <v>40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B115" s="41" t="s">
        <v>460</v>
      </c>
      <c r="C115" s="41">
        <v>363.0</v>
      </c>
      <c r="D115" s="99" t="s">
        <v>40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B116" s="41" t="s">
        <v>400</v>
      </c>
      <c r="C116" s="41">
        <v>259.0</v>
      </c>
      <c r="D116" s="99" t="s">
        <v>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B117" s="41" t="s">
        <v>117</v>
      </c>
      <c r="C117" s="41">
        <v>493.0</v>
      </c>
      <c r="D117" s="99" t="s">
        <v>40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B118" s="41" t="s">
        <v>343</v>
      </c>
      <c r="C118" s="41">
        <v>20.0</v>
      </c>
      <c r="D118" s="99" t="s">
        <v>40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B119" s="41" t="s">
        <v>37</v>
      </c>
      <c r="C119" s="41">
        <v>50.0</v>
      </c>
      <c r="D119" s="99" t="s">
        <v>40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98">
        <v>46075.0</v>
      </c>
      <c r="B120" s="41" t="s">
        <v>461</v>
      </c>
      <c r="C120" s="41">
        <v>50.0</v>
      </c>
      <c r="D120" s="99" t="s">
        <v>40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B121" s="41" t="s">
        <v>167</v>
      </c>
      <c r="C121" s="41">
        <v>10.0</v>
      </c>
      <c r="D121" s="99" t="s">
        <v>40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B122" s="41" t="s">
        <v>54</v>
      </c>
      <c r="C122" s="41">
        <v>30.0</v>
      </c>
      <c r="D122" s="99" t="s">
        <v>40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B123" s="41" t="s">
        <v>151</v>
      </c>
      <c r="C123" s="41">
        <v>155.0</v>
      </c>
      <c r="D123" s="99" t="s">
        <v>40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B124" s="41" t="s">
        <v>120</v>
      </c>
      <c r="C124" s="41">
        <v>24.0</v>
      </c>
      <c r="D124" s="99" t="s">
        <v>40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B125" s="41" t="s">
        <v>462</v>
      </c>
      <c r="C125" s="41">
        <v>10.0</v>
      </c>
      <c r="D125" s="99" t="s">
        <v>40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98">
        <v>46076.0</v>
      </c>
      <c r="B126" s="41" t="s">
        <v>241</v>
      </c>
      <c r="C126" s="5">
        <f>125-45-33</f>
        <v>47</v>
      </c>
      <c r="D126" s="99" t="s">
        <v>40</v>
      </c>
      <c r="E126" s="4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B127" s="41" t="s">
        <v>152</v>
      </c>
      <c r="C127" s="41">
        <v>21.0</v>
      </c>
      <c r="D127" s="99" t="s">
        <v>40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B128" s="41" t="s">
        <v>247</v>
      </c>
      <c r="C128" s="41">
        <v>170.0</v>
      </c>
      <c r="D128" s="99" t="s">
        <v>40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98">
        <v>46077.0</v>
      </c>
      <c r="B129" s="41" t="s">
        <v>105</v>
      </c>
      <c r="C129" s="41">
        <v>45.0</v>
      </c>
      <c r="D129" s="99" t="s">
        <v>40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B130" s="41" t="s">
        <v>463</v>
      </c>
      <c r="C130" s="41">
        <v>30.0</v>
      </c>
      <c r="D130" s="99" t="s">
        <v>40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B131" s="41" t="s">
        <v>127</v>
      </c>
      <c r="C131" s="41">
        <v>35.0</v>
      </c>
      <c r="D131" s="99" t="s">
        <v>40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B132" s="41" t="s">
        <v>151</v>
      </c>
      <c r="C132" s="41">
        <v>55.0</v>
      </c>
      <c r="D132" s="99" t="s">
        <v>40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B133" s="41" t="s">
        <v>464</v>
      </c>
      <c r="C133" s="41">
        <v>67.0</v>
      </c>
      <c r="D133" s="99" t="s">
        <v>40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98">
        <v>46078.0</v>
      </c>
      <c r="B134" s="41" t="s">
        <v>152</v>
      </c>
      <c r="C134" s="41">
        <v>30.0</v>
      </c>
      <c r="D134" s="99" t="s">
        <v>40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B135" s="41" t="s">
        <v>451</v>
      </c>
      <c r="C135" s="41">
        <v>216.0</v>
      </c>
      <c r="D135" s="99" t="s">
        <v>40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B136" s="41" t="s">
        <v>148</v>
      </c>
      <c r="C136" s="41">
        <v>160.0</v>
      </c>
      <c r="D136" s="99" t="s">
        <v>40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98">
        <v>46079.0</v>
      </c>
      <c r="B137" s="41" t="s">
        <v>96</v>
      </c>
      <c r="C137" s="41">
        <v>15.0</v>
      </c>
      <c r="D137" s="99" t="s">
        <v>40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B138" s="41" t="s">
        <v>50</v>
      </c>
      <c r="C138" s="41">
        <v>35.0</v>
      </c>
      <c r="D138" s="99" t="s">
        <v>40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B139" s="41" t="s">
        <v>148</v>
      </c>
      <c r="C139" s="41">
        <v>25.0</v>
      </c>
      <c r="D139" s="99" t="s">
        <v>40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B140" s="41" t="s">
        <v>80</v>
      </c>
      <c r="C140" s="41">
        <v>105.0</v>
      </c>
      <c r="D140" s="99" t="s">
        <v>40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99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99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99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99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4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4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42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42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42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4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4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42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4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4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4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4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4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4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4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4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4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4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4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4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4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4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4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4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4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4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4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4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4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4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4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4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4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4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4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4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4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4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4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4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4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4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4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4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4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4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4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4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4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4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4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4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4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4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4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4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4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4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4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4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4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4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4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4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4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4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4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4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4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4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4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4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4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4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4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4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4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4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4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4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4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4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4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4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4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4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4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4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4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4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4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4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4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4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4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4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4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4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4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4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4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4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4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4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4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4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4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4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4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4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4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4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4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4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4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4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4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4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4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4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4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4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4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4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4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4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4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4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4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4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4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4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4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4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4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4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4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4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4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4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4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4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4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4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4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4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4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4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4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4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4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4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4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4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4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4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4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4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4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4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4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4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4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4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4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4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4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4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4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4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4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4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4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4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4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4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4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4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4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4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4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4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4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4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4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4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4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4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4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4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4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4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4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4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4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4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4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4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4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4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4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4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4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4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4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4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4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4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4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4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4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4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4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4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4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4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4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4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4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4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4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4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4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4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4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4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4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4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4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4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4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4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4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4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4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4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4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4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4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4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4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4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4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4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4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4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4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4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4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4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4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4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4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4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4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4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4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4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4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4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4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4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4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4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4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4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4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4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4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4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4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4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4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4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4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4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4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4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4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4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4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4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4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4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4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4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4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4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4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4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4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4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4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4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4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4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4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4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4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4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4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4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4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4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4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4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4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4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4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4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4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4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4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4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4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4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4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4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4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4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4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4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4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4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4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4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4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4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4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4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4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4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4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4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4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4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4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4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4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4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4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4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4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4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4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4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4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4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4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4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4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4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4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4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4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4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4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4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4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4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4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4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4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4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4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4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4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4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4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4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4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4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4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4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4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4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4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4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4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4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4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4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4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4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4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4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4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4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4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4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4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4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4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4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4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4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4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4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4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4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4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4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4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4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4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4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4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4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4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4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4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4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4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4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4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4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4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4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4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4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4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4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4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4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4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4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4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4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4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4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4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4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4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4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4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4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4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4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4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4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4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4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4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4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4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4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4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4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4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4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4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4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4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4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4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4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4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4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4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4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4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4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4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4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4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4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4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4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4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4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4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4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4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4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4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4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4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4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4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4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4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4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4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4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4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4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4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4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4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4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4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4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4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4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4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4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4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4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4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4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4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4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4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4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4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4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4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4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4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4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4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4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4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4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4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4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4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4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4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4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4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4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4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4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4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4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4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4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4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4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4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4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4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4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4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4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4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4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4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4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4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4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4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4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4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4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4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4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4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4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4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4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4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4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4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4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4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4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4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4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4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4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4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4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4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4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4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4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4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4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4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4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4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4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4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4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4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4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4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4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4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4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4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4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4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4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4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4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4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4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4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4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4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4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4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4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4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4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4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4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4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4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4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4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4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4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4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4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4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4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4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4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4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4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4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4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4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4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4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4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4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4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4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4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4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4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4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4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4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4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4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4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4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4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4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4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4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4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4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4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4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4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4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4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4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4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4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4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4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4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4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4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4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4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4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4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4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4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4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4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4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4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4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4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4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4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4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4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4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4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4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4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4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4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4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4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4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4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4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4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4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4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4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4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4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4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4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4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4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4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4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4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4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4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4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4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4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4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4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4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4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4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4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4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4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4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4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4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4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4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4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4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4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4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4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4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4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4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4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4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4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4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4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4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4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4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4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4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4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4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4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4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4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4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4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4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4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4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4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4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4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4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4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4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4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4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4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4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4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4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4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4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4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4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4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4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4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4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4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4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4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4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4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4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4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4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4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4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4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4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4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4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4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4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4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4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4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4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4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4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4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4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4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4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4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4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4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4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4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4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4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4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4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4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4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4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4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4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4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4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4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4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4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4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4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4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4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4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4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4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4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4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4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4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4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4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4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4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4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4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4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4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4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4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4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4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4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4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4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4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4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4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4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4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4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4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4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4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4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4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4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4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4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4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4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4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4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4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4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4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4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4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4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4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4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4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42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42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35">
    <mergeCell ref="G18:H18"/>
    <mergeCell ref="G19:H19"/>
    <mergeCell ref="F24:J24"/>
    <mergeCell ref="A2:A4"/>
    <mergeCell ref="A5:A11"/>
    <mergeCell ref="A12:A19"/>
    <mergeCell ref="G13:H13"/>
    <mergeCell ref="G14:H14"/>
    <mergeCell ref="G15:H15"/>
    <mergeCell ref="G16:H16"/>
    <mergeCell ref="A20:A25"/>
    <mergeCell ref="A26:A31"/>
    <mergeCell ref="A33:A36"/>
    <mergeCell ref="A37:A40"/>
    <mergeCell ref="A41:A44"/>
    <mergeCell ref="A45:A53"/>
    <mergeCell ref="A54:A62"/>
    <mergeCell ref="A63:A65"/>
    <mergeCell ref="A66:A68"/>
    <mergeCell ref="A69:A73"/>
    <mergeCell ref="A74:A80"/>
    <mergeCell ref="A81:A84"/>
    <mergeCell ref="A85:A88"/>
    <mergeCell ref="A89:A93"/>
    <mergeCell ref="A126:A128"/>
    <mergeCell ref="A129:A133"/>
    <mergeCell ref="A134:A136"/>
    <mergeCell ref="A137:A140"/>
    <mergeCell ref="A94:A97"/>
    <mergeCell ref="A98:A101"/>
    <mergeCell ref="A102:A103"/>
    <mergeCell ref="A104:A109"/>
    <mergeCell ref="A110:A113"/>
    <mergeCell ref="A114:A119"/>
    <mergeCell ref="A120:A125"/>
  </mergeCells>
  <conditionalFormatting sqref="F27:J104">
    <cfRule type="expression" dxfId="0" priority="1">
      <formula>$I27=TRUE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13"/>
    <col customWidth="1" min="4" max="4" width="21.88"/>
    <col customWidth="1" min="6" max="6" width="24.38"/>
    <col customWidth="1" min="7" max="7" width="41.38"/>
    <col customWidth="1" min="8" max="8" width="14.38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8">
        <v>46021.0</v>
      </c>
      <c r="B2" s="41" t="s">
        <v>370</v>
      </c>
      <c r="C2" s="41">
        <v>200.0</v>
      </c>
      <c r="D2" s="99" t="s">
        <v>40</v>
      </c>
      <c r="E2" s="5"/>
      <c r="F2" s="100">
        <v>45991.0</v>
      </c>
      <c r="G2" s="101" t="s">
        <v>465</v>
      </c>
      <c r="H2" s="144">
        <f>23419</f>
        <v>23419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41" t="s">
        <v>466</v>
      </c>
      <c r="C3" s="41">
        <v>8000.0</v>
      </c>
      <c r="D3" s="99" t="s">
        <v>467</v>
      </c>
      <c r="E3" s="5"/>
      <c r="F3" s="103">
        <v>46024.0</v>
      </c>
      <c r="G3" s="41" t="s">
        <v>157</v>
      </c>
      <c r="H3" s="104">
        <v>5540.0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1" t="s">
        <v>84</v>
      </c>
      <c r="C4" s="41">
        <v>2000.0</v>
      </c>
      <c r="D4" s="99" t="s">
        <v>468</v>
      </c>
      <c r="E4" s="5"/>
      <c r="F4" s="103">
        <v>46034.0</v>
      </c>
      <c r="G4" s="41" t="s">
        <v>48</v>
      </c>
      <c r="H4" s="104">
        <v>11000.0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41" t="s">
        <v>41</v>
      </c>
      <c r="C5" s="41">
        <v>3000.0</v>
      </c>
      <c r="D5" s="99" t="s">
        <v>101</v>
      </c>
      <c r="E5" s="5"/>
      <c r="F5" s="103">
        <v>46038.0</v>
      </c>
      <c r="G5" s="41" t="s">
        <v>157</v>
      </c>
      <c r="H5" s="104">
        <v>5550.0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41" t="s">
        <v>93</v>
      </c>
      <c r="C6" s="41">
        <v>64.0</v>
      </c>
      <c r="D6" s="99" t="s">
        <v>40</v>
      </c>
      <c r="E6" s="5"/>
      <c r="F6" s="103">
        <v>46042.0</v>
      </c>
      <c r="G6" s="41" t="s">
        <v>159</v>
      </c>
      <c r="H6" s="104">
        <v>200.0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8">
        <v>46022.0</v>
      </c>
      <c r="B7" s="41" t="s">
        <v>56</v>
      </c>
      <c r="C7" s="41">
        <v>14.0</v>
      </c>
      <c r="D7" s="99" t="s">
        <v>40</v>
      </c>
      <c r="E7" s="5"/>
      <c r="F7" s="103">
        <v>46044.0</v>
      </c>
      <c r="G7" s="41" t="s">
        <v>159</v>
      </c>
      <c r="H7" s="104">
        <v>300.0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41" t="s">
        <v>432</v>
      </c>
      <c r="C8" s="41">
        <v>36.0</v>
      </c>
      <c r="D8" s="99" t="s">
        <v>40</v>
      </c>
      <c r="E8" s="5"/>
      <c r="F8" s="103">
        <v>46045.0</v>
      </c>
      <c r="G8" s="41" t="s">
        <v>159</v>
      </c>
      <c r="H8" s="104">
        <v>130.0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41" t="s">
        <v>296</v>
      </c>
      <c r="C9" s="41">
        <v>35.0</v>
      </c>
      <c r="D9" s="99" t="s">
        <v>40</v>
      </c>
      <c r="E9" s="5"/>
      <c r="F9" s="103">
        <v>46046.0</v>
      </c>
      <c r="G9" s="41" t="s">
        <v>159</v>
      </c>
      <c r="H9" s="104">
        <v>370.0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B10" s="41" t="s">
        <v>117</v>
      </c>
      <c r="C10" s="41">
        <v>340.0</v>
      </c>
      <c r="D10" s="99" t="s">
        <v>190</v>
      </c>
      <c r="E10" s="5"/>
      <c r="F10" s="103">
        <v>46049.0</v>
      </c>
      <c r="G10" s="41" t="s">
        <v>159</v>
      </c>
      <c r="H10" s="104">
        <v>400.0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B11" s="41" t="s">
        <v>80</v>
      </c>
      <c r="C11" s="41">
        <v>138.0</v>
      </c>
      <c r="D11" s="99" t="s">
        <v>40</v>
      </c>
      <c r="E11" s="5"/>
      <c r="F11" s="145"/>
      <c r="G11" s="41"/>
      <c r="H11" s="10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8">
        <v>46023.0</v>
      </c>
      <c r="B12" s="41" t="s">
        <v>113</v>
      </c>
      <c r="C12" s="41">
        <v>1266.0</v>
      </c>
      <c r="D12" s="99" t="s">
        <v>469</v>
      </c>
      <c r="E12" s="5"/>
      <c r="F12" s="146"/>
      <c r="G12" s="147"/>
      <c r="H12" s="14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41" t="s">
        <v>117</v>
      </c>
      <c r="C13" s="41">
        <v>19.0</v>
      </c>
      <c r="D13" s="99" t="s">
        <v>40</v>
      </c>
      <c r="E13" s="5"/>
      <c r="F13" s="115" t="s">
        <v>49</v>
      </c>
      <c r="G13" s="116">
        <f>SUM(H2:H12)</f>
        <v>46909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41" t="s">
        <v>470</v>
      </c>
      <c r="C14" s="41">
        <v>489.0</v>
      </c>
      <c r="D14" s="99" t="s">
        <v>101</v>
      </c>
      <c r="E14" s="5"/>
      <c r="F14" s="117" t="s">
        <v>51</v>
      </c>
      <c r="G14" s="118">
        <f>SUMIF(D2:D225, "&lt;&gt;Credit", C2:C533) + G15</f>
        <v>46844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41" t="s">
        <v>108</v>
      </c>
      <c r="C15" s="41">
        <v>2000.0</v>
      </c>
      <c r="D15" s="99" t="s">
        <v>108</v>
      </c>
      <c r="E15" s="5"/>
      <c r="F15" s="117" t="s">
        <v>53</v>
      </c>
      <c r="G15" s="119">
        <f>242+50+22+257+62+262</f>
        <v>895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B16" s="41" t="s">
        <v>80</v>
      </c>
      <c r="C16" s="5">
        <f>176+17</f>
        <v>193</v>
      </c>
      <c r="D16" s="99" t="s">
        <v>40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8">
        <v>46024.0</v>
      </c>
      <c r="B17" s="41" t="s">
        <v>89</v>
      </c>
      <c r="C17" s="41">
        <v>60.0</v>
      </c>
      <c r="D17" s="99" t="s">
        <v>40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B18" s="41" t="s">
        <v>471</v>
      </c>
      <c r="C18" s="41">
        <v>50.0</v>
      </c>
      <c r="D18" s="99" t="s">
        <v>40</v>
      </c>
      <c r="E18" s="5"/>
      <c r="F18" s="117" t="s">
        <v>57</v>
      </c>
      <c r="G18" s="121">
        <f>G13-G14-J33</f>
        <v>65</v>
      </c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B19" s="41" t="s">
        <v>428</v>
      </c>
      <c r="C19" s="41">
        <v>202.0</v>
      </c>
      <c r="D19" s="99" t="s">
        <v>101</v>
      </c>
      <c r="E19" s="5"/>
      <c r="F19" s="117" t="s">
        <v>59</v>
      </c>
      <c r="G19" s="122">
        <f>G13-G14</f>
        <v>65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B20" s="41" t="s">
        <v>472</v>
      </c>
      <c r="C20" s="41">
        <v>225.0</v>
      </c>
      <c r="D20" s="99" t="s">
        <v>101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B21" s="41" t="s">
        <v>300</v>
      </c>
      <c r="C21" s="41">
        <v>150.0</v>
      </c>
      <c r="D21" s="99" t="s">
        <v>40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41" t="s">
        <v>473</v>
      </c>
      <c r="C22" s="41">
        <v>150.0</v>
      </c>
      <c r="D22" s="99" t="s">
        <v>101</v>
      </c>
      <c r="E22" s="5"/>
      <c r="F22" s="124" t="s">
        <v>40</v>
      </c>
      <c r="G22" s="19">
        <v>5000.0</v>
      </c>
      <c r="H22" s="37">
        <f>SUMIF(D2:D148, "=Living expense",C2:C166)+G15</f>
        <v>6674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41" t="s">
        <v>130</v>
      </c>
      <c r="C23" s="41">
        <v>30.0</v>
      </c>
      <c r="D23" s="99" t="s">
        <v>40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B24" s="41" t="s">
        <v>474</v>
      </c>
      <c r="C24" s="41">
        <v>100.0</v>
      </c>
      <c r="D24" s="99" t="s">
        <v>40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41" t="s">
        <v>367</v>
      </c>
      <c r="C25" s="41">
        <v>35.0</v>
      </c>
      <c r="D25" s="99" t="s">
        <v>101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B26" s="41" t="s">
        <v>174</v>
      </c>
      <c r="C26" s="41">
        <v>50.0</v>
      </c>
      <c r="D26" s="99" t="s">
        <v>40</v>
      </c>
      <c r="E26" s="5"/>
      <c r="F26" s="149" t="s">
        <v>12</v>
      </c>
      <c r="G26" s="150">
        <v>3000.0</v>
      </c>
      <c r="H26" s="151">
        <f>IFERROR(__xludf.DUMMYFUNCTION("SUMIF($D$2:$D$524, TO_TEXT(F26) ,$C$2:$C$524)"),5000.0)</f>
        <v>5000</v>
      </c>
      <c r="I26" s="117" t="b">
        <v>1</v>
      </c>
      <c r="J26" s="37">
        <f t="shared" ref="J26:J32" si="1">IF(I26=TRUE,0,MAX(G26-H26,0))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8">
        <v>46025.0</v>
      </c>
      <c r="B27" s="41" t="s">
        <v>160</v>
      </c>
      <c r="C27" s="41">
        <v>25.0</v>
      </c>
      <c r="D27" s="99" t="s">
        <v>40</v>
      </c>
      <c r="E27" s="5"/>
      <c r="F27" s="149" t="s">
        <v>475</v>
      </c>
      <c r="G27" s="150">
        <v>6600.0</v>
      </c>
      <c r="H27" s="151">
        <f>IFERROR(__xludf.DUMMYFUNCTION("SUMIF($D$2:$D$524, TO_TEXT(F27) ,$C$2:$C$524)"),6622.0)</f>
        <v>6622</v>
      </c>
      <c r="I27" s="117" t="b">
        <v>1</v>
      </c>
      <c r="J27" s="37">
        <f t="shared" si="1"/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B28" s="41" t="s">
        <v>37</v>
      </c>
      <c r="C28" s="41">
        <v>42.0</v>
      </c>
      <c r="D28" s="99" t="s">
        <v>40</v>
      </c>
      <c r="E28" s="5"/>
      <c r="F28" s="152" t="s">
        <v>101</v>
      </c>
      <c r="G28" s="150">
        <v>3000.0</v>
      </c>
      <c r="H28" s="151">
        <f>IFERROR(__xludf.DUMMYFUNCTION("SUMIF($D$2:$D$524, TO_TEXT(F28) ,$C$2:$C$524)"),8754.0)</f>
        <v>8754</v>
      </c>
      <c r="I28" s="19" t="b">
        <v>1</v>
      </c>
      <c r="J28" s="151">
        <f t="shared" si="1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B29" s="41" t="s">
        <v>136</v>
      </c>
      <c r="C29" s="41">
        <v>47.0</v>
      </c>
      <c r="D29" s="99" t="s">
        <v>40</v>
      </c>
      <c r="E29" s="5"/>
      <c r="F29" s="152" t="s">
        <v>467</v>
      </c>
      <c r="G29" s="150">
        <v>18000.0</v>
      </c>
      <c r="H29" s="151">
        <f>IFERROR(__xludf.DUMMYFUNCTION("SUMIF($D$2:$D$524, TO_TEXT(F29) ,$C$2:$C$524)"),11000.0)</f>
        <v>11000</v>
      </c>
      <c r="I29" s="19" t="b">
        <v>1</v>
      </c>
      <c r="J29" s="151">
        <f t="shared" si="1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B30" s="41" t="s">
        <v>113</v>
      </c>
      <c r="C30" s="5">
        <f>103+34+98</f>
        <v>235</v>
      </c>
      <c r="D30" s="99" t="s">
        <v>469</v>
      </c>
      <c r="E30" s="5"/>
      <c r="F30" s="152" t="s">
        <v>469</v>
      </c>
      <c r="G30" s="150">
        <v>2000.0</v>
      </c>
      <c r="H30" s="151">
        <f>IFERROR(__xludf.DUMMYFUNCTION("SUMIF($D$2:$D$524, TO_TEXT(F30) ,$C$2:$C$524)"),2468.0)</f>
        <v>2468</v>
      </c>
      <c r="I30" s="19" t="b">
        <v>1</v>
      </c>
      <c r="J30" s="151">
        <f t="shared" si="1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41" t="s">
        <v>242</v>
      </c>
      <c r="C31" s="41">
        <v>17.0</v>
      </c>
      <c r="D31" s="99" t="s">
        <v>101</v>
      </c>
      <c r="E31" s="5"/>
      <c r="F31" s="152" t="s">
        <v>468</v>
      </c>
      <c r="G31" s="150">
        <v>2000.0</v>
      </c>
      <c r="H31" s="151">
        <f>IFERROR(__xludf.DUMMYFUNCTION("SUMIF($D$2:$D$524, TO_TEXT(F31) ,$C$2:$C$524)"),2000.0)</f>
        <v>2000</v>
      </c>
      <c r="I31" s="19" t="b">
        <v>1</v>
      </c>
      <c r="J31" s="151">
        <f t="shared" si="1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B32" s="41" t="s">
        <v>474</v>
      </c>
      <c r="C32" s="41">
        <v>15.0</v>
      </c>
      <c r="D32" s="99" t="s">
        <v>40</v>
      </c>
      <c r="E32" s="5"/>
      <c r="F32" s="152" t="s">
        <v>108</v>
      </c>
      <c r="G32" s="150">
        <v>2000.0</v>
      </c>
      <c r="H32" s="151">
        <f>IFERROR(__xludf.DUMMYFUNCTION("SUMIF($D$2:$D$524, TO_TEXT(F32) ,$C$2:$C$524)"),3000.0)</f>
        <v>3000</v>
      </c>
      <c r="I32" s="19" t="b">
        <v>1</v>
      </c>
      <c r="J32" s="151">
        <f t="shared" si="1"/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B33" s="41" t="s">
        <v>165</v>
      </c>
      <c r="C33" s="41">
        <v>533.0</v>
      </c>
      <c r="D33" s="99" t="s">
        <v>475</v>
      </c>
      <c r="E33" s="5"/>
      <c r="F33" s="153" t="s">
        <v>73</v>
      </c>
      <c r="G33" s="154">
        <f>SUM(G27:G30)</f>
        <v>29600</v>
      </c>
      <c r="H33" s="155">
        <f>SUM(H27:H29)</f>
        <v>26376</v>
      </c>
      <c r="I33" s="156"/>
      <c r="J33" s="155">
        <f>SUM(J26:J32)</f>
        <v>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8">
        <v>46026.0</v>
      </c>
      <c r="B34" s="41" t="s">
        <v>476</v>
      </c>
      <c r="C34" s="41">
        <v>17.0</v>
      </c>
      <c r="D34" s="99" t="s">
        <v>40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41" t="s">
        <v>477</v>
      </c>
      <c r="C35" s="41">
        <v>27.0</v>
      </c>
      <c r="D35" s="99" t="s">
        <v>40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B36" s="41" t="s">
        <v>113</v>
      </c>
      <c r="C36" s="41">
        <v>967.0</v>
      </c>
      <c r="D36" s="99" t="s">
        <v>469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B37" s="41" t="s">
        <v>172</v>
      </c>
      <c r="C37" s="41">
        <v>25.0</v>
      </c>
      <c r="D37" s="99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B38" s="41" t="s">
        <v>144</v>
      </c>
      <c r="C38" s="41">
        <v>30.0</v>
      </c>
      <c r="D38" s="99" t="s">
        <v>40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8">
        <v>46027.0</v>
      </c>
      <c r="B39" s="41" t="s">
        <v>132</v>
      </c>
      <c r="C39" s="41">
        <v>11.0</v>
      </c>
      <c r="D39" s="99" t="s">
        <v>40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B40" s="41" t="s">
        <v>37</v>
      </c>
      <c r="C40" s="41">
        <v>48.0</v>
      </c>
      <c r="D40" s="99" t="s">
        <v>40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B41" s="41" t="s">
        <v>478</v>
      </c>
      <c r="C41" s="41">
        <v>50.0</v>
      </c>
      <c r="D41" s="99" t="s">
        <v>40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8">
        <v>46028.0</v>
      </c>
      <c r="B42" s="41" t="s">
        <v>56</v>
      </c>
      <c r="C42" s="41">
        <v>14.0</v>
      </c>
      <c r="D42" s="99" t="s">
        <v>40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41" t="s">
        <v>91</v>
      </c>
      <c r="C43" s="41">
        <v>47.0</v>
      </c>
      <c r="D43" s="99" t="s">
        <v>40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8">
        <v>46029.0</v>
      </c>
      <c r="B44" s="41" t="s">
        <v>86</v>
      </c>
      <c r="C44" s="5">
        <f>120+485+2</f>
        <v>607</v>
      </c>
      <c r="D44" s="99" t="s">
        <v>101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B45" s="41" t="s">
        <v>108</v>
      </c>
      <c r="C45" s="41">
        <v>1000.0</v>
      </c>
      <c r="D45" s="99" t="s">
        <v>108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B46" s="41" t="s">
        <v>109</v>
      </c>
      <c r="C46" s="41">
        <v>20.0</v>
      </c>
      <c r="D46" s="99" t="s">
        <v>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B47" s="41" t="s">
        <v>172</v>
      </c>
      <c r="C47" s="41">
        <v>77.0</v>
      </c>
      <c r="D47" s="99" t="s">
        <v>40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B48" s="41" t="s">
        <v>132</v>
      </c>
      <c r="C48" s="41">
        <v>12.0</v>
      </c>
      <c r="D48" s="99" t="s">
        <v>40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8">
        <v>46030.0</v>
      </c>
      <c r="B49" s="41" t="s">
        <v>56</v>
      </c>
      <c r="C49" s="41">
        <v>14.0</v>
      </c>
      <c r="D49" s="99" t="s">
        <v>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B50" s="41" t="s">
        <v>172</v>
      </c>
      <c r="C50" s="41">
        <v>60.0</v>
      </c>
      <c r="D50" s="99" t="s">
        <v>40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8">
        <v>46031.0</v>
      </c>
      <c r="B51" s="41" t="s">
        <v>95</v>
      </c>
      <c r="C51" s="5">
        <f>40+369+104</f>
        <v>513</v>
      </c>
      <c r="D51" s="99" t="s">
        <v>101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B52" s="41" t="s">
        <v>113</v>
      </c>
      <c r="C52" s="5">
        <f>226+230</f>
        <v>456</v>
      </c>
      <c r="D52" s="99" t="s">
        <v>101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B53" s="41" t="s">
        <v>35</v>
      </c>
      <c r="C53" s="41">
        <v>3000.0</v>
      </c>
      <c r="D53" s="99" t="s">
        <v>467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B54" s="41" t="s">
        <v>80</v>
      </c>
      <c r="C54" s="41">
        <v>120.0</v>
      </c>
      <c r="D54" s="99" t="s">
        <v>40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98">
        <v>46032.0</v>
      </c>
      <c r="B55" s="41" t="s">
        <v>479</v>
      </c>
      <c r="C55" s="5">
        <f>147+44</f>
        <v>191</v>
      </c>
      <c r="D55" s="99" t="s">
        <v>190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B56" s="41" t="s">
        <v>480</v>
      </c>
      <c r="C56" s="41">
        <v>44.0</v>
      </c>
      <c r="D56" s="99" t="s">
        <v>190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B57" s="41" t="s">
        <v>481</v>
      </c>
      <c r="C57" s="41">
        <v>25.0</v>
      </c>
      <c r="D57" s="99" t="s">
        <v>40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B58" s="41" t="s">
        <v>54</v>
      </c>
      <c r="C58" s="41">
        <v>55.0</v>
      </c>
      <c r="D58" s="99" t="s">
        <v>40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B59" s="41" t="s">
        <v>167</v>
      </c>
      <c r="C59" s="41">
        <v>10.0</v>
      </c>
      <c r="D59" s="99" t="s">
        <v>40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98">
        <v>46033.0</v>
      </c>
      <c r="B60" s="41" t="s">
        <v>302</v>
      </c>
      <c r="C60" s="41">
        <v>524.0</v>
      </c>
      <c r="D60" s="99" t="s">
        <v>190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B61" s="41" t="s">
        <v>355</v>
      </c>
      <c r="C61" s="41">
        <v>1295.0</v>
      </c>
      <c r="D61" s="99" t="s">
        <v>48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B62" s="41" t="s">
        <v>41</v>
      </c>
      <c r="C62" s="41">
        <v>1500.0</v>
      </c>
      <c r="D62" s="99" t="s">
        <v>101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98">
        <v>46034.0</v>
      </c>
      <c r="B63" s="41" t="s">
        <v>11</v>
      </c>
      <c r="C63" s="41">
        <v>54.0</v>
      </c>
      <c r="D63" s="99" t="s">
        <v>48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B64" s="41" t="s">
        <v>136</v>
      </c>
      <c r="C64" s="41">
        <v>20.0</v>
      </c>
      <c r="D64" s="99" t="s">
        <v>40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B65" s="41" t="s">
        <v>140</v>
      </c>
      <c r="C65" s="41">
        <v>229.0</v>
      </c>
      <c r="D65" s="99" t="s">
        <v>40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98">
        <v>46035.0</v>
      </c>
      <c r="B66" s="41" t="s">
        <v>136</v>
      </c>
      <c r="C66" s="41">
        <v>16.0</v>
      </c>
      <c r="D66" s="99" t="s">
        <v>40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B67" s="41" t="s">
        <v>482</v>
      </c>
      <c r="C67" s="41">
        <v>27.0</v>
      </c>
      <c r="D67" s="99" t="s">
        <v>190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98">
        <v>46036.0</v>
      </c>
      <c r="B68" s="41" t="s">
        <v>136</v>
      </c>
      <c r="C68" s="41">
        <v>20.0</v>
      </c>
      <c r="D68" s="99" t="s">
        <v>40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B69" s="41" t="s">
        <v>54</v>
      </c>
      <c r="C69" s="41">
        <v>80.0</v>
      </c>
      <c r="D69" s="99" t="s">
        <v>40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98">
        <v>46037.0</v>
      </c>
      <c r="B70" s="41" t="s">
        <v>66</v>
      </c>
      <c r="C70" s="41">
        <v>6000.0</v>
      </c>
      <c r="D70" s="99" t="s">
        <v>475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41" t="s">
        <v>483</v>
      </c>
      <c r="C71" s="41">
        <v>260.0</v>
      </c>
      <c r="D71" s="99" t="s">
        <v>40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B72" s="41" t="s">
        <v>12</v>
      </c>
      <c r="C72" s="41">
        <v>5000.0</v>
      </c>
      <c r="D72" s="99" t="s">
        <v>12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98">
        <v>46038.0</v>
      </c>
      <c r="B73" s="41" t="s">
        <v>178</v>
      </c>
      <c r="C73" s="41">
        <v>89.0</v>
      </c>
      <c r="D73" s="99" t="s">
        <v>475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41" t="s">
        <v>56</v>
      </c>
      <c r="C74" s="41">
        <v>15.0</v>
      </c>
      <c r="D74" s="99" t="s">
        <v>40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B75" s="41" t="s">
        <v>113</v>
      </c>
      <c r="C75" s="41">
        <v>61.0</v>
      </c>
      <c r="D75" s="99" t="s">
        <v>40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41" t="s">
        <v>80</v>
      </c>
      <c r="C76" s="41">
        <v>103.0</v>
      </c>
      <c r="D76" s="99" t="s">
        <v>40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B77" s="41" t="s">
        <v>41</v>
      </c>
      <c r="C77" s="41">
        <v>1500.0</v>
      </c>
      <c r="D77" s="99" t="s">
        <v>101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98">
        <v>46039.0</v>
      </c>
      <c r="B78" s="41" t="s">
        <v>113</v>
      </c>
      <c r="C78" s="41">
        <f>71+60</f>
        <v>131</v>
      </c>
      <c r="D78" s="99" t="s">
        <v>40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B79" s="41" t="s">
        <v>95</v>
      </c>
      <c r="C79" s="5">
        <f>100+929</f>
        <v>1029</v>
      </c>
      <c r="D79" s="99" t="s">
        <v>40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B80" s="41" t="s">
        <v>303</v>
      </c>
      <c r="C80" s="41">
        <v>233.0</v>
      </c>
      <c r="D80" s="99" t="s">
        <v>40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B81" s="41" t="s">
        <v>148</v>
      </c>
      <c r="C81" s="41">
        <v>73.0</v>
      </c>
      <c r="D81" s="99" t="s">
        <v>40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B82" s="41" t="s">
        <v>50</v>
      </c>
      <c r="C82" s="41">
        <v>70.0</v>
      </c>
      <c r="D82" s="99" t="s">
        <v>40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98">
        <v>46040.0</v>
      </c>
      <c r="B83" s="41" t="s">
        <v>50</v>
      </c>
      <c r="C83" s="41">
        <v>60.0</v>
      </c>
      <c r="D83" s="99" t="s">
        <v>40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41" t="s">
        <v>484</v>
      </c>
      <c r="C84" s="5">
        <f>25+32</f>
        <v>57</v>
      </c>
      <c r="D84" s="99" t="s">
        <v>40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B85" s="41" t="s">
        <v>167</v>
      </c>
      <c r="C85" s="41">
        <v>5.0</v>
      </c>
      <c r="D85" s="99" t="s">
        <v>40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B86" s="41" t="s">
        <v>74</v>
      </c>
      <c r="C86" s="41">
        <v>60.0</v>
      </c>
      <c r="D86" s="99" t="s">
        <v>40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B87" s="41" t="s">
        <v>485</v>
      </c>
      <c r="C87" s="41">
        <v>500.0</v>
      </c>
      <c r="D87" s="99" t="s">
        <v>48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98">
        <v>46041.0</v>
      </c>
      <c r="B88" s="41" t="s">
        <v>56</v>
      </c>
      <c r="C88" s="41">
        <v>15.0</v>
      </c>
      <c r="D88" s="99" t="s">
        <v>40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98">
        <v>46042.0</v>
      </c>
      <c r="B89" s="41" t="s">
        <v>486</v>
      </c>
      <c r="C89" s="41">
        <v>12.0</v>
      </c>
      <c r="D89" s="99" t="s">
        <v>40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B90" s="41" t="s">
        <v>487</v>
      </c>
      <c r="C90" s="41">
        <v>50.0</v>
      </c>
      <c r="D90" s="99" t="s">
        <v>40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B91" s="41" t="s">
        <v>80</v>
      </c>
      <c r="C91" s="41">
        <v>108.0</v>
      </c>
      <c r="D91" s="99" t="s">
        <v>40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41" t="s">
        <v>172</v>
      </c>
      <c r="C92" s="41">
        <v>36.0</v>
      </c>
      <c r="D92" s="99" t="s">
        <v>40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8">
        <v>46043.0</v>
      </c>
      <c r="B93" s="41" t="s">
        <v>56</v>
      </c>
      <c r="C93" s="41">
        <v>15.0</v>
      </c>
      <c r="D93" s="99" t="s">
        <v>40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B94" s="41" t="s">
        <v>172</v>
      </c>
      <c r="C94" s="41">
        <v>52.0</v>
      </c>
      <c r="D94" s="99" t="s">
        <v>40</v>
      </c>
      <c r="E94" s="4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B95" s="41" t="s">
        <v>488</v>
      </c>
      <c r="C95" s="41">
        <v>73.0</v>
      </c>
      <c r="D95" s="99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B96" s="41" t="s">
        <v>489</v>
      </c>
      <c r="C96" s="41">
        <v>100.0</v>
      </c>
      <c r="D96" s="99" t="s">
        <v>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98">
        <v>46044.0</v>
      </c>
      <c r="B97" s="41" t="s">
        <v>105</v>
      </c>
      <c r="C97" s="41">
        <v>38.0</v>
      </c>
      <c r="D97" s="99" t="s">
        <v>40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B98" s="41" t="s">
        <v>296</v>
      </c>
      <c r="C98" s="41">
        <v>25.0</v>
      </c>
      <c r="D98" s="99" t="s">
        <v>40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B99" s="41" t="s">
        <v>112</v>
      </c>
      <c r="C99" s="41">
        <v>40.0</v>
      </c>
      <c r="D99" s="99" t="s">
        <v>40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98">
        <v>46045.0</v>
      </c>
      <c r="B100" s="41" t="s">
        <v>490</v>
      </c>
      <c r="C100" s="41">
        <v>40.0</v>
      </c>
      <c r="D100" s="99" t="s">
        <v>40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B101" s="41" t="s">
        <v>148</v>
      </c>
      <c r="C101" s="41">
        <v>25.0</v>
      </c>
      <c r="D101" s="99" t="s">
        <v>40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B102" s="41" t="s">
        <v>133</v>
      </c>
      <c r="C102" s="41">
        <v>114.0</v>
      </c>
      <c r="D102" s="99" t="s">
        <v>40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B103" s="41" t="s">
        <v>54</v>
      </c>
      <c r="C103" s="41">
        <v>25.0</v>
      </c>
      <c r="D103" s="99" t="s">
        <v>40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98">
        <v>46046.0</v>
      </c>
      <c r="B104" s="41" t="s">
        <v>138</v>
      </c>
      <c r="C104" s="41">
        <v>150.0</v>
      </c>
      <c r="D104" s="99" t="s">
        <v>40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B105" s="41" t="s">
        <v>108</v>
      </c>
      <c r="C105" s="41">
        <v>200.0</v>
      </c>
      <c r="D105" s="99" t="s">
        <v>34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98">
        <v>46047.0</v>
      </c>
      <c r="B106" s="41" t="s">
        <v>181</v>
      </c>
      <c r="C106" s="41">
        <v>94.0</v>
      </c>
      <c r="D106" s="99" t="s">
        <v>40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98">
        <v>46048.0</v>
      </c>
      <c r="B107" s="41" t="s">
        <v>172</v>
      </c>
      <c r="C107" s="41">
        <v>50.0</v>
      </c>
      <c r="D107" s="99" t="s">
        <v>40</v>
      </c>
      <c r="E107" s="4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B108" s="41" t="s">
        <v>54</v>
      </c>
      <c r="C108" s="41">
        <v>25.0</v>
      </c>
      <c r="D108" s="99" t="s">
        <v>40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B109" s="41" t="s">
        <v>41</v>
      </c>
      <c r="C109" s="41">
        <v>60.0</v>
      </c>
      <c r="D109" s="99" t="s">
        <v>101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B110" s="41" t="s">
        <v>148</v>
      </c>
      <c r="C110" s="41">
        <v>59.0</v>
      </c>
      <c r="D110" s="99" t="s">
        <v>40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98">
        <v>46049.0</v>
      </c>
      <c r="B111" s="41" t="s">
        <v>56</v>
      </c>
      <c r="C111" s="41">
        <v>16.0</v>
      </c>
      <c r="D111" s="99" t="s">
        <v>40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41" t="s">
        <v>50</v>
      </c>
      <c r="C112" s="41">
        <v>33.0</v>
      </c>
      <c r="D112" s="99" t="s">
        <v>40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B113" s="41" t="s">
        <v>91</v>
      </c>
      <c r="C113" s="41">
        <v>38.0</v>
      </c>
      <c r="D113" s="99" t="s">
        <v>40</v>
      </c>
      <c r="E113" s="4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98">
        <v>46050.0</v>
      </c>
      <c r="B114" s="41" t="s">
        <v>56</v>
      </c>
      <c r="C114" s="41">
        <v>15.0</v>
      </c>
      <c r="D114" s="99" t="s">
        <v>40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B115" s="41" t="s">
        <v>491</v>
      </c>
      <c r="C115" s="41">
        <v>20.0</v>
      </c>
      <c r="D115" s="99" t="s">
        <v>40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B116" s="41" t="s">
        <v>148</v>
      </c>
      <c r="C116" s="41">
        <v>59.0</v>
      </c>
      <c r="D116" s="99" t="s">
        <v>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99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99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99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99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99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99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99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99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99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42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42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42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42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42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42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42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42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42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42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42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42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42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42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4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42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42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42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42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4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4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42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42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42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4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4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42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4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4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4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4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4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4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4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4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4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4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4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4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4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4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4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4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4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4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4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4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4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4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4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4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4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4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4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4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4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4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4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4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4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4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4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4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4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4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4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4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4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4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4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4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4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4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4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4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4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4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4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4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4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4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4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4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4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4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4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4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4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4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4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4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4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4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4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4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4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4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4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4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4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4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4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4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4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4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4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4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4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4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4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4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4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4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4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4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4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4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4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4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4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4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4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4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4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4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4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4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4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4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4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4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4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4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4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4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4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4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4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4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4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4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4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4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4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4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4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4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4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4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4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4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4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4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4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4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4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4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4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4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4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4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4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4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4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4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4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4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4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4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4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4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4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4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4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4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4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4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4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4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4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4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4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4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4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4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4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4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4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4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4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4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4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4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4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4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4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4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4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4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4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4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4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4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4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4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4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4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4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4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4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4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4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4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4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4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4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4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4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4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4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4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4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4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4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4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4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4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4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4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4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4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4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4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4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4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4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4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4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4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4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4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4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4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4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4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4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4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4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4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4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4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4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4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4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4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4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4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4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4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4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4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4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4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4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4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4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4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4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4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4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4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4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4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4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4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4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4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4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4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4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4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4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4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4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4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4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4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4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4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4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4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4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4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4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4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4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4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4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4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4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4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4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4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4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4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4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4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4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4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4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4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4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4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4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4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4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4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4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4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4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4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4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4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4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4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4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4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4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4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4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4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4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4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4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4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4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4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4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4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4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4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4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4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4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4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4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4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4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4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4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4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4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4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4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4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4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4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4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4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4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4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4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4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4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4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4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4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4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4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4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4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4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4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4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4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4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4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4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4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4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4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4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4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4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4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4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4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4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4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4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4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4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4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4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4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4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4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4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4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4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4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4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4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4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4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4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4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4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4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4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4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4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4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4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4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4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4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4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4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4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4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4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4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4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4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4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4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4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4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4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4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4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4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4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4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4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4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4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4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4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4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4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4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4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4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4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4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4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4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4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4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4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4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4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4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4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4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4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4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4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4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4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4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4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4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4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4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4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4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4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4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4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4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4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4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4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4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4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4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4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4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4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4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4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4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4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4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4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4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4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4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4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4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4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4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4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4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4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4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4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4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4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4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4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4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4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4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4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4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4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4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4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4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4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4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4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4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4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4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4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4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4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4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4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4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4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4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4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4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4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4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4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4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4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4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4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4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4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4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4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4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4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4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4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4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4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4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4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4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4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4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4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4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4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4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4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4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4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4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4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4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4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4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4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4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4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4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4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4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4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4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4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4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4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4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4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4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4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4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4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4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4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4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4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4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4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4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4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4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4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4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4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4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4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4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4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4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4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4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4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4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4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4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4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4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4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4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4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4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4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4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4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4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4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4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4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4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4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4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4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4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4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4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4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4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4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4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4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4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4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4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4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4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4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4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4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4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4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4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4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4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4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4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4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4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4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4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4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4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4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4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4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4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4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4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4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4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4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4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4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4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4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4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4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4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4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4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4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4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4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4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4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4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4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4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4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4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4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4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4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4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4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4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4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4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4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4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4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4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4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4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4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4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4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4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4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4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4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4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4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4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4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4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4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4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4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4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4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4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4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4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4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4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4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4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4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4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4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4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4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4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4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4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4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4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4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4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4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4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4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4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4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4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4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4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4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4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4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4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4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4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4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4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4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4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4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4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4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4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4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4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4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4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4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4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4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4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4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4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4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4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4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4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4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4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4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4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4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4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4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4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4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4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4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4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4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4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4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4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4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4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4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4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4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4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4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4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4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4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4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4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4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4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4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4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4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4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4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4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4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4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4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4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4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4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4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4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4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4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4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4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4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4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4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4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4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4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4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4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4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4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4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4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4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4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4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4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4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4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4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4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4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4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4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4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4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4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4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4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4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4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4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4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4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4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4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4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4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4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4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4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4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4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4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4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4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4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4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4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4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4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4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4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4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4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4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4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4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4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4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4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4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4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4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4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42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42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4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42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42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42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35">
    <mergeCell ref="G16:H16"/>
    <mergeCell ref="G18:H18"/>
    <mergeCell ref="F24:J24"/>
    <mergeCell ref="A2:A6"/>
    <mergeCell ref="A7:A11"/>
    <mergeCell ref="A12:A16"/>
    <mergeCell ref="G13:H13"/>
    <mergeCell ref="G14:H14"/>
    <mergeCell ref="G15:H15"/>
    <mergeCell ref="G19:H19"/>
    <mergeCell ref="A17:A26"/>
    <mergeCell ref="A27:A33"/>
    <mergeCell ref="A34:A38"/>
    <mergeCell ref="A39:A41"/>
    <mergeCell ref="A42:A43"/>
    <mergeCell ref="A44:A48"/>
    <mergeCell ref="A49:A50"/>
    <mergeCell ref="A51:A54"/>
    <mergeCell ref="A55:A59"/>
    <mergeCell ref="A60:A62"/>
    <mergeCell ref="A63:A65"/>
    <mergeCell ref="A66:A67"/>
    <mergeCell ref="A68:A69"/>
    <mergeCell ref="A70:A72"/>
    <mergeCell ref="A104:A105"/>
    <mergeCell ref="A107:A110"/>
    <mergeCell ref="A111:A113"/>
    <mergeCell ref="A114:A116"/>
    <mergeCell ref="A73:A77"/>
    <mergeCell ref="A78:A82"/>
    <mergeCell ref="A83:A87"/>
    <mergeCell ref="A89:A92"/>
    <mergeCell ref="A93:A96"/>
    <mergeCell ref="A97:A99"/>
    <mergeCell ref="A100:A10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4.38"/>
    <col customWidth="1" min="3" max="3" width="15.25"/>
    <col customWidth="1" min="4" max="4" width="20.25"/>
    <col customWidth="1" min="5" max="5" width="19.13"/>
    <col customWidth="1" min="6" max="6" width="22.25"/>
    <col customWidth="1" min="7" max="7" width="36.0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8">
        <v>45988.0</v>
      </c>
      <c r="B2" s="41" t="s">
        <v>156</v>
      </c>
      <c r="C2" s="41">
        <v>11.0</v>
      </c>
      <c r="D2" s="99" t="s">
        <v>40</v>
      </c>
      <c r="E2" s="5"/>
      <c r="F2" s="100">
        <v>45988.0</v>
      </c>
      <c r="G2" s="101" t="s">
        <v>492</v>
      </c>
      <c r="H2" s="102">
        <f>'T112025'!G19</f>
        <v>419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41" t="s">
        <v>84</v>
      </c>
      <c r="C3" s="41">
        <v>1000.0</v>
      </c>
      <c r="D3" s="99" t="s">
        <v>468</v>
      </c>
      <c r="E3" s="5"/>
      <c r="F3" s="92"/>
      <c r="G3" s="41" t="s">
        <v>493</v>
      </c>
      <c r="H3" s="104">
        <v>23500.0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1" t="s">
        <v>494</v>
      </c>
      <c r="C4" s="41">
        <v>275.0</v>
      </c>
      <c r="D4" s="99" t="s">
        <v>468</v>
      </c>
      <c r="E4" s="5"/>
      <c r="F4" s="103">
        <v>45989.0</v>
      </c>
      <c r="G4" s="41" t="s">
        <v>495</v>
      </c>
      <c r="H4" s="104">
        <v>1000.0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41" t="s">
        <v>93</v>
      </c>
      <c r="C5" s="41">
        <v>50.0</v>
      </c>
      <c r="D5" s="99" t="s">
        <v>40</v>
      </c>
      <c r="E5" s="41"/>
      <c r="F5" s="103">
        <v>46000.0</v>
      </c>
      <c r="G5" s="41" t="s">
        <v>199</v>
      </c>
      <c r="H5" s="104">
        <v>3000.0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41" t="s">
        <v>151</v>
      </c>
      <c r="C6" s="41">
        <v>101.0</v>
      </c>
      <c r="D6" s="99" t="s">
        <v>40</v>
      </c>
      <c r="E6" s="5"/>
      <c r="F6" s="92"/>
      <c r="G6" s="41" t="s">
        <v>48</v>
      </c>
      <c r="H6" s="104">
        <v>5000.0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41" t="s">
        <v>41</v>
      </c>
      <c r="C7" s="41">
        <v>4000.0</v>
      </c>
      <c r="D7" s="99" t="s">
        <v>101</v>
      </c>
      <c r="E7" s="5"/>
      <c r="F7" s="103">
        <v>46002.0</v>
      </c>
      <c r="G7" s="41" t="s">
        <v>48</v>
      </c>
      <c r="H7" s="104">
        <v>10000.0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41" t="s">
        <v>496</v>
      </c>
      <c r="C8" s="41">
        <v>5040.0</v>
      </c>
      <c r="D8" s="99" t="s">
        <v>467</v>
      </c>
      <c r="E8" s="5"/>
      <c r="F8" s="103">
        <v>46006.0</v>
      </c>
      <c r="G8" s="41" t="s">
        <v>199</v>
      </c>
      <c r="H8" s="104">
        <v>2000.0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8">
        <v>45989.0</v>
      </c>
      <c r="B9" s="41" t="s">
        <v>113</v>
      </c>
      <c r="C9" s="41">
        <v>1266.0</v>
      </c>
      <c r="D9" s="99" t="s">
        <v>469</v>
      </c>
      <c r="E9" s="5"/>
      <c r="F9" s="103">
        <v>46007.0</v>
      </c>
      <c r="G9" s="41" t="s">
        <v>20</v>
      </c>
      <c r="H9" s="104">
        <v>1000.0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B10" s="41" t="s">
        <v>37</v>
      </c>
      <c r="C10" s="41">
        <v>40.0</v>
      </c>
      <c r="D10" s="99" t="s">
        <v>40</v>
      </c>
      <c r="E10" s="5"/>
      <c r="F10" s="103">
        <v>46010.0</v>
      </c>
      <c r="G10" s="41" t="s">
        <v>20</v>
      </c>
      <c r="H10" s="104">
        <v>1000.0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B11" s="41" t="s">
        <v>105</v>
      </c>
      <c r="C11" s="41">
        <v>100.0</v>
      </c>
      <c r="D11" s="99" t="s">
        <v>40</v>
      </c>
      <c r="E11" s="5"/>
      <c r="F11" s="157" t="s">
        <v>497</v>
      </c>
      <c r="G11" s="41" t="s">
        <v>20</v>
      </c>
      <c r="H11" s="104">
        <f>1000+200</f>
        <v>1200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B12" s="41" t="s">
        <v>112</v>
      </c>
      <c r="C12" s="41">
        <v>20.0</v>
      </c>
      <c r="D12" s="99" t="s">
        <v>40</v>
      </c>
      <c r="E12" s="5"/>
      <c r="F12" s="112"/>
      <c r="G12" s="113"/>
      <c r="H12" s="11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41" t="s">
        <v>136</v>
      </c>
      <c r="C13" s="41">
        <v>32.0</v>
      </c>
      <c r="D13" s="99" t="s">
        <v>40</v>
      </c>
      <c r="E13" s="5"/>
      <c r="F13" s="115" t="s">
        <v>49</v>
      </c>
      <c r="G13" s="116">
        <f>SUM(H2:H12)</f>
        <v>48119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41" t="s">
        <v>498</v>
      </c>
      <c r="C14" s="41">
        <v>438.0</v>
      </c>
      <c r="D14" s="99" t="s">
        <v>48</v>
      </c>
      <c r="E14" s="5"/>
      <c r="F14" s="117" t="s">
        <v>51</v>
      </c>
      <c r="G14" s="118">
        <f>SUMIF(D2:D219, "&lt;&gt;Credit", C2:C527) + G15</f>
        <v>47857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8">
        <v>45990.0</v>
      </c>
      <c r="B15" s="41" t="s">
        <v>89</v>
      </c>
      <c r="C15" s="41">
        <v>5.0</v>
      </c>
      <c r="D15" s="99" t="s">
        <v>40</v>
      </c>
      <c r="E15" s="5"/>
      <c r="F15" s="117" t="s">
        <v>53</v>
      </c>
      <c r="G15" s="119">
        <f>550+2+45+182+10</f>
        <v>789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B16" s="41" t="s">
        <v>108</v>
      </c>
      <c r="C16" s="41">
        <v>500.0</v>
      </c>
      <c r="D16" s="99" t="s">
        <v>499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B17" s="41" t="s">
        <v>113</v>
      </c>
      <c r="C17" s="44">
        <f>102+93</f>
        <v>195</v>
      </c>
      <c r="D17" s="99" t="s">
        <v>40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B18" s="41" t="s">
        <v>478</v>
      </c>
      <c r="C18" s="41">
        <v>26.0</v>
      </c>
      <c r="D18" s="99" t="s">
        <v>40</v>
      </c>
      <c r="E18" s="5"/>
      <c r="F18" s="117" t="s">
        <v>500</v>
      </c>
      <c r="G18" s="121">
        <f>G13-G14-J34</f>
        <v>262</v>
      </c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B19" s="41" t="s">
        <v>136</v>
      </c>
      <c r="C19" s="41">
        <v>32.0</v>
      </c>
      <c r="D19" s="99" t="s">
        <v>40</v>
      </c>
      <c r="E19" s="5"/>
      <c r="F19" s="117" t="s">
        <v>501</v>
      </c>
      <c r="G19" s="122">
        <f>G13-G14</f>
        <v>262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8">
        <v>45991.0</v>
      </c>
      <c r="B20" s="41" t="s">
        <v>456</v>
      </c>
      <c r="C20" s="41">
        <v>79.0</v>
      </c>
      <c r="D20" s="99" t="s">
        <v>40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B21" s="41" t="s">
        <v>120</v>
      </c>
      <c r="C21" s="41">
        <v>27.0</v>
      </c>
      <c r="D21" s="99" t="s">
        <v>40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41" t="s">
        <v>113</v>
      </c>
      <c r="C22" s="41">
        <v>967.0</v>
      </c>
      <c r="D22" s="99" t="s">
        <v>469</v>
      </c>
      <c r="E22" s="5"/>
      <c r="F22" s="124" t="s">
        <v>40</v>
      </c>
      <c r="G22" s="19">
        <v>5000.0</v>
      </c>
      <c r="H22" s="37">
        <f>SUMIF(D2:D142, "=Living expense",C2:C160)+G15</f>
        <v>6503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41" t="s">
        <v>80</v>
      </c>
      <c r="C23" s="41">
        <v>128.0</v>
      </c>
      <c r="D23" s="99" t="s">
        <v>40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8">
        <v>45992.0</v>
      </c>
      <c r="B24" s="41" t="s">
        <v>56</v>
      </c>
      <c r="C24" s="41">
        <v>14.0</v>
      </c>
      <c r="D24" s="99" t="s">
        <v>40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41" t="s">
        <v>502</v>
      </c>
      <c r="C25" s="41">
        <v>1000.0</v>
      </c>
      <c r="D25" s="99" t="s">
        <v>503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B26" s="41" t="s">
        <v>112</v>
      </c>
      <c r="C26" s="41">
        <v>50.0</v>
      </c>
      <c r="D26" s="99" t="s">
        <v>40</v>
      </c>
      <c r="E26" s="5"/>
      <c r="F26" s="149" t="s">
        <v>12</v>
      </c>
      <c r="G26" s="150">
        <v>3000.0</v>
      </c>
      <c r="H26" s="151">
        <f>IFERROR(__xludf.DUMMYFUNCTION("SUMIF($D$2:$D$518, TO_TEXT(F26) ,$C$2:$C$518)"),5000.0)</f>
        <v>5000</v>
      </c>
      <c r="I26" s="117" t="b">
        <v>1</v>
      </c>
      <c r="J26" s="37">
        <f t="shared" ref="J26:J33" si="1">IF(I26=TRUE,0,MAX(G26-H26,0))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B27" s="41" t="s">
        <v>148</v>
      </c>
      <c r="C27" s="41">
        <v>49.0</v>
      </c>
      <c r="D27" s="99" t="s">
        <v>40</v>
      </c>
      <c r="E27" s="5"/>
      <c r="F27" s="149" t="s">
        <v>475</v>
      </c>
      <c r="G27" s="150">
        <v>6609.0</v>
      </c>
      <c r="H27" s="151">
        <f>IFERROR(__xludf.DUMMYFUNCTION("SUMIF($D$2:$D$518, TO_TEXT(F27) ,$C$2:$C$518)"),6609.0)</f>
        <v>6609</v>
      </c>
      <c r="I27" s="117" t="b">
        <v>1</v>
      </c>
      <c r="J27" s="37">
        <f t="shared" si="1"/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B28" s="41" t="s">
        <v>93</v>
      </c>
      <c r="C28" s="41">
        <v>65.0</v>
      </c>
      <c r="D28" s="99" t="s">
        <v>40</v>
      </c>
      <c r="E28" s="5"/>
      <c r="F28" s="152" t="s">
        <v>499</v>
      </c>
      <c r="G28" s="150">
        <v>2000.0</v>
      </c>
      <c r="H28" s="151">
        <f>IFERROR(__xludf.DUMMYFUNCTION("SUMIF($D$2:$D$518, TO_TEXT(F28) ,$C$2:$C$518)"),1500.0)</f>
        <v>1500</v>
      </c>
      <c r="I28" s="19" t="b">
        <v>1</v>
      </c>
      <c r="J28" s="151">
        <f t="shared" si="1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8">
        <v>45993.0</v>
      </c>
      <c r="B29" s="41" t="s">
        <v>165</v>
      </c>
      <c r="C29" s="41">
        <v>520.0</v>
      </c>
      <c r="D29" s="99" t="s">
        <v>475</v>
      </c>
      <c r="E29" s="5"/>
      <c r="F29" s="152" t="s">
        <v>101</v>
      </c>
      <c r="G29" s="150">
        <v>3000.0</v>
      </c>
      <c r="H29" s="151">
        <f>IFERROR(__xludf.DUMMYFUNCTION("SUMIF($D$2:$D$518, TO_TEXT(F29) ,$C$2:$C$518)"),6848.0)</f>
        <v>6848</v>
      </c>
      <c r="I29" s="19" t="b">
        <v>1</v>
      </c>
      <c r="J29" s="151">
        <f t="shared" si="1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B30" s="41" t="s">
        <v>105</v>
      </c>
      <c r="C30" s="41">
        <v>35.0</v>
      </c>
      <c r="D30" s="99" t="s">
        <v>40</v>
      </c>
      <c r="E30" s="5"/>
      <c r="F30" s="152" t="s">
        <v>467</v>
      </c>
      <c r="G30" s="150">
        <v>15250.0</v>
      </c>
      <c r="H30" s="151">
        <f>IFERROR(__xludf.DUMMYFUNCTION("SUMIF($D$2:$D$518, TO_TEXT(F30) ,$C$2:$C$518)"),15315.0)</f>
        <v>15315</v>
      </c>
      <c r="I30" s="19" t="b">
        <v>1</v>
      </c>
      <c r="J30" s="151">
        <f t="shared" si="1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41" t="s">
        <v>156</v>
      </c>
      <c r="C31" s="41">
        <v>22.0</v>
      </c>
      <c r="D31" s="99" t="s">
        <v>40</v>
      </c>
      <c r="E31" s="5"/>
      <c r="F31" s="152" t="s">
        <v>469</v>
      </c>
      <c r="G31" s="150">
        <v>2000.0</v>
      </c>
      <c r="H31" s="151">
        <f>IFERROR(__xludf.DUMMYFUNCTION("SUMIF($D$2:$D$518, TO_TEXT(F31) ,$C$2:$C$518)"),2233.0)</f>
        <v>2233</v>
      </c>
      <c r="I31" s="19" t="b">
        <v>1</v>
      </c>
      <c r="J31" s="151">
        <f t="shared" si="1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B32" s="41" t="s">
        <v>504</v>
      </c>
      <c r="C32" s="41">
        <v>27.0</v>
      </c>
      <c r="D32" s="99" t="s">
        <v>40</v>
      </c>
      <c r="E32" s="5"/>
      <c r="F32" s="152" t="s">
        <v>468</v>
      </c>
      <c r="G32" s="150">
        <v>1275.0</v>
      </c>
      <c r="H32" s="151">
        <f>IFERROR(__xludf.DUMMYFUNCTION("SUMIF($D$2:$D$518, TO_TEXT(F32) ,$C$2:$C$518)"),1275.0)</f>
        <v>1275</v>
      </c>
      <c r="I32" s="19" t="b">
        <v>1</v>
      </c>
      <c r="J32" s="151">
        <f t="shared" si="1"/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B33" s="41" t="s">
        <v>93</v>
      </c>
      <c r="C33" s="41">
        <v>37.0</v>
      </c>
      <c r="D33" s="99" t="s">
        <v>40</v>
      </c>
      <c r="E33" s="5"/>
      <c r="F33" s="152" t="s">
        <v>505</v>
      </c>
      <c r="G33" s="150">
        <v>500.0</v>
      </c>
      <c r="H33" s="151">
        <f>IFERROR(__xludf.DUMMYFUNCTION("SUMIF($D$2:$D$518, TO_TEXT(F33) ,$C$2:$C$518)"),500.0)</f>
        <v>500</v>
      </c>
      <c r="I33" s="19" t="b">
        <v>1</v>
      </c>
      <c r="J33" s="151">
        <f t="shared" si="1"/>
        <v>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8">
        <v>45994.0</v>
      </c>
      <c r="B34" s="41" t="s">
        <v>506</v>
      </c>
      <c r="C34" s="41">
        <v>-27.0</v>
      </c>
      <c r="D34" s="99" t="s">
        <v>40</v>
      </c>
      <c r="E34" s="5"/>
      <c r="F34" s="153" t="s">
        <v>73</v>
      </c>
      <c r="G34" s="154">
        <f>SUM(G27:G31)</f>
        <v>28859</v>
      </c>
      <c r="H34" s="155">
        <f>SUM(H27:H30)</f>
        <v>30272</v>
      </c>
      <c r="I34" s="156"/>
      <c r="J34" s="155">
        <f>SUM(J26:J33)</f>
        <v>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41" t="s">
        <v>50</v>
      </c>
      <c r="C35" s="41">
        <v>30.0</v>
      </c>
      <c r="D35" s="99" t="s">
        <v>40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B36" s="41" t="s">
        <v>91</v>
      </c>
      <c r="C36" s="41">
        <v>59.0</v>
      </c>
      <c r="D36" s="99" t="s">
        <v>40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8">
        <v>45995.0</v>
      </c>
      <c r="B37" s="41" t="s">
        <v>56</v>
      </c>
      <c r="C37" s="41">
        <v>14.0</v>
      </c>
      <c r="D37" s="99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B38" s="41" t="s">
        <v>242</v>
      </c>
      <c r="C38" s="41">
        <v>105.0</v>
      </c>
      <c r="D38" s="99" t="s">
        <v>40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B39" s="41" t="s">
        <v>148</v>
      </c>
      <c r="C39" s="41">
        <v>90.0</v>
      </c>
      <c r="D39" s="99" t="s">
        <v>40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B40" s="41" t="s">
        <v>203</v>
      </c>
      <c r="C40" s="41">
        <f>93-30-30</f>
        <v>33</v>
      </c>
      <c r="D40" s="99" t="s">
        <v>40</v>
      </c>
      <c r="E40" s="4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8">
        <v>45996.0</v>
      </c>
      <c r="B41" s="41" t="s">
        <v>50</v>
      </c>
      <c r="C41" s="41">
        <v>39.0</v>
      </c>
      <c r="D41" s="99" t="s">
        <v>40</v>
      </c>
      <c r="E41" s="4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B42" s="41" t="s">
        <v>56</v>
      </c>
      <c r="C42" s="41">
        <v>14.0</v>
      </c>
      <c r="D42" s="99" t="s">
        <v>40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41" t="s">
        <v>148</v>
      </c>
      <c r="C43" s="41">
        <v>28.0</v>
      </c>
      <c r="D43" s="99" t="s">
        <v>40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B44" s="41" t="s">
        <v>144</v>
      </c>
      <c r="C44" s="41">
        <v>84.0</v>
      </c>
      <c r="D44" s="99" t="s">
        <v>40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8">
        <v>45997.0</v>
      </c>
      <c r="B45" s="41" t="s">
        <v>270</v>
      </c>
      <c r="C45" s="41">
        <v>389.0</v>
      </c>
      <c r="D45" s="99" t="s">
        <v>40</v>
      </c>
      <c r="E45" s="4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B46" s="41" t="s">
        <v>507</v>
      </c>
      <c r="C46" s="41">
        <v>1000.0</v>
      </c>
      <c r="D46" s="99" t="s">
        <v>499</v>
      </c>
      <c r="E46" s="4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B47" s="41" t="s">
        <v>113</v>
      </c>
      <c r="C47" s="44">
        <f>47+50</f>
        <v>97</v>
      </c>
      <c r="D47" s="99" t="s">
        <v>190</v>
      </c>
      <c r="E47" s="4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B48" s="41" t="s">
        <v>80</v>
      </c>
      <c r="C48" s="41">
        <v>127.0</v>
      </c>
      <c r="D48" s="99" t="s">
        <v>40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8">
        <v>45998.0</v>
      </c>
      <c r="B49" s="41" t="s">
        <v>496</v>
      </c>
      <c r="C49" s="41">
        <v>438.0</v>
      </c>
      <c r="D49" s="99" t="s">
        <v>101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B50" s="41" t="s">
        <v>136</v>
      </c>
      <c r="C50" s="41">
        <v>20.0</v>
      </c>
      <c r="D50" s="99" t="s">
        <v>40</v>
      </c>
      <c r="E50" s="4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B51" s="41" t="s">
        <v>508</v>
      </c>
      <c r="C51" s="41">
        <v>500.0</v>
      </c>
      <c r="D51" s="99" t="s">
        <v>505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B52" s="41" t="s">
        <v>148</v>
      </c>
      <c r="C52" s="41">
        <v>37.0</v>
      </c>
      <c r="D52" s="99" t="s">
        <v>40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B53" s="41" t="s">
        <v>120</v>
      </c>
      <c r="C53" s="41">
        <v>101.0</v>
      </c>
      <c r="D53" s="99" t="s">
        <v>40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98">
        <v>45999.0</v>
      </c>
      <c r="B54" s="41" t="s">
        <v>351</v>
      </c>
      <c r="C54" s="41">
        <v>100.0</v>
      </c>
      <c r="D54" s="99" t="s">
        <v>34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41" t="s">
        <v>117</v>
      </c>
      <c r="C55" s="41">
        <v>197.0</v>
      </c>
      <c r="D55" s="99" t="s">
        <v>190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B56" s="41" t="s">
        <v>509</v>
      </c>
      <c r="C56" s="41">
        <v>55.0</v>
      </c>
      <c r="D56" s="99" t="s">
        <v>190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B57" s="41" t="s">
        <v>510</v>
      </c>
      <c r="C57" s="41">
        <v>39.0</v>
      </c>
      <c r="D57" s="99" t="s">
        <v>40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98">
        <v>46000.0</v>
      </c>
      <c r="B58" s="41" t="s">
        <v>496</v>
      </c>
      <c r="C58" s="41">
        <v>10250.0</v>
      </c>
      <c r="D58" s="99" t="s">
        <v>467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B59" s="41" t="s">
        <v>156</v>
      </c>
      <c r="C59" s="41">
        <v>11.0</v>
      </c>
      <c r="D59" s="99" t="s">
        <v>40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B60" s="41" t="s">
        <v>112</v>
      </c>
      <c r="C60" s="41">
        <v>30.0</v>
      </c>
      <c r="D60" s="99" t="s">
        <v>40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B61" s="41" t="s">
        <v>148</v>
      </c>
      <c r="C61" s="41">
        <v>25.0</v>
      </c>
      <c r="D61" s="99" t="s">
        <v>40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98">
        <v>46001.0</v>
      </c>
      <c r="B62" s="41" t="s">
        <v>489</v>
      </c>
      <c r="C62" s="41">
        <v>100.0</v>
      </c>
      <c r="D62" s="99" t="s">
        <v>40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B63" s="41" t="s">
        <v>136</v>
      </c>
      <c r="C63" s="41">
        <v>20.0</v>
      </c>
      <c r="D63" s="99" t="s">
        <v>40</v>
      </c>
      <c r="E63" s="4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B64" s="41" t="s">
        <v>93</v>
      </c>
      <c r="C64" s="41">
        <v>228.0</v>
      </c>
      <c r="D64" s="99" t="s">
        <v>48</v>
      </c>
      <c r="E64" s="4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98">
        <v>46002.0</v>
      </c>
      <c r="B65" s="41" t="s">
        <v>511</v>
      </c>
      <c r="C65" s="41">
        <v>25.0</v>
      </c>
      <c r="D65" s="99" t="s">
        <v>467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B66" s="41" t="s">
        <v>91</v>
      </c>
      <c r="C66" s="41">
        <v>52.0</v>
      </c>
      <c r="D66" s="99" t="s">
        <v>40</v>
      </c>
      <c r="E66" s="4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B67" s="41" t="s">
        <v>156</v>
      </c>
      <c r="C67" s="41">
        <v>13.0</v>
      </c>
      <c r="D67" s="99" t="s">
        <v>40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B68" s="41" t="s">
        <v>242</v>
      </c>
      <c r="C68" s="41">
        <v>132.0</v>
      </c>
      <c r="D68" s="99" t="s">
        <v>48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8">
        <v>46003.0</v>
      </c>
      <c r="B69" s="41" t="s">
        <v>56</v>
      </c>
      <c r="C69" s="41">
        <v>14.0</v>
      </c>
      <c r="D69" s="99" t="s">
        <v>40</v>
      </c>
      <c r="E69" s="4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B70" s="41" t="s">
        <v>145</v>
      </c>
      <c r="C70" s="41">
        <v>46.0</v>
      </c>
      <c r="D70" s="99" t="s">
        <v>40</v>
      </c>
      <c r="E70" s="4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41" t="s">
        <v>37</v>
      </c>
      <c r="C71" s="41">
        <v>50.0</v>
      </c>
      <c r="D71" s="99" t="s">
        <v>40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B72" s="41" t="s">
        <v>80</v>
      </c>
      <c r="C72" s="41">
        <v>128.0</v>
      </c>
      <c r="D72" s="99" t="s">
        <v>40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B73" s="41" t="s">
        <v>243</v>
      </c>
      <c r="C73" s="41">
        <v>25.0</v>
      </c>
      <c r="D73" s="99" t="s">
        <v>40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41" t="s">
        <v>11</v>
      </c>
      <c r="C74" s="41">
        <v>54.0</v>
      </c>
      <c r="D74" s="99" t="s">
        <v>190</v>
      </c>
      <c r="E74" s="4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98">
        <v>46004.0</v>
      </c>
      <c r="B75" s="41" t="s">
        <v>113</v>
      </c>
      <c r="C75" s="41">
        <v>71.0</v>
      </c>
      <c r="D75" s="99" t="s">
        <v>190</v>
      </c>
      <c r="E75" s="4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41" t="s">
        <v>113</v>
      </c>
      <c r="C76" s="41">
        <v>68.0</v>
      </c>
      <c r="D76" s="99" t="s">
        <v>48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B77" s="41" t="s">
        <v>95</v>
      </c>
      <c r="C77" s="41">
        <v>210.0</v>
      </c>
      <c r="D77" s="99" t="s">
        <v>101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B78" s="41" t="s">
        <v>41</v>
      </c>
      <c r="C78" s="41">
        <v>1000.0</v>
      </c>
      <c r="D78" s="99" t="s">
        <v>101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98">
        <v>46005.0</v>
      </c>
      <c r="B79" s="41" t="s">
        <v>151</v>
      </c>
      <c r="C79" s="41">
        <v>78.0</v>
      </c>
      <c r="D79" s="99" t="s">
        <v>48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B80" s="41" t="s">
        <v>512</v>
      </c>
      <c r="C80" s="41">
        <v>260.0</v>
      </c>
      <c r="D80" s="99" t="s">
        <v>48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B81" s="41" t="s">
        <v>113</v>
      </c>
      <c r="C81" s="44">
        <f>620+34+543+34</f>
        <v>1231</v>
      </c>
      <c r="D81" s="99" t="s">
        <v>48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B82" s="41" t="s">
        <v>109</v>
      </c>
      <c r="C82" s="41">
        <v>30.0</v>
      </c>
      <c r="D82" s="99" t="s">
        <v>40</v>
      </c>
      <c r="E82" s="4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B83" s="41" t="s">
        <v>80</v>
      </c>
      <c r="C83" s="41">
        <v>128.0</v>
      </c>
      <c r="D83" s="99" t="s">
        <v>40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41" t="s">
        <v>178</v>
      </c>
      <c r="C84" s="41">
        <v>89.0</v>
      </c>
      <c r="D84" s="99" t="s">
        <v>475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98">
        <v>46006.0</v>
      </c>
      <c r="B85" s="41" t="s">
        <v>66</v>
      </c>
      <c r="C85" s="41">
        <v>6000.0</v>
      </c>
      <c r="D85" s="99" t="s">
        <v>475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B86" s="41" t="s">
        <v>12</v>
      </c>
      <c r="C86" s="41">
        <v>5000.0</v>
      </c>
      <c r="D86" s="99" t="s">
        <v>12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B87" s="41" t="s">
        <v>91</v>
      </c>
      <c r="C87" s="41">
        <v>35.0</v>
      </c>
      <c r="D87" s="99" t="s">
        <v>40</v>
      </c>
      <c r="E87" s="4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B88" s="41" t="s">
        <v>56</v>
      </c>
      <c r="C88" s="41">
        <v>14.0</v>
      </c>
      <c r="D88" s="99" t="s">
        <v>40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B89" s="41" t="s">
        <v>108</v>
      </c>
      <c r="C89" s="41">
        <v>500.0</v>
      </c>
      <c r="D89" s="99" t="s">
        <v>34</v>
      </c>
      <c r="E89" s="4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98">
        <v>46007.0</v>
      </c>
      <c r="B90" s="41" t="s">
        <v>513</v>
      </c>
      <c r="C90" s="41">
        <v>73.0</v>
      </c>
      <c r="D90" s="99" t="s">
        <v>40</v>
      </c>
      <c r="E90" s="4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B91" s="41" t="s">
        <v>213</v>
      </c>
      <c r="C91" s="41">
        <f>143-36-36-35</f>
        <v>36</v>
      </c>
      <c r="D91" s="99" t="s">
        <v>40</v>
      </c>
      <c r="E91" s="4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41" t="s">
        <v>93</v>
      </c>
      <c r="C92" s="41">
        <v>99.0</v>
      </c>
      <c r="D92" s="99" t="s">
        <v>40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8">
        <v>46008.0</v>
      </c>
      <c r="B93" s="41" t="s">
        <v>56</v>
      </c>
      <c r="C93" s="41">
        <v>14.0</v>
      </c>
      <c r="D93" s="99" t="s">
        <v>40</v>
      </c>
      <c r="E93" s="4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B94" s="41" t="s">
        <v>93</v>
      </c>
      <c r="C94" s="41">
        <v>61.0</v>
      </c>
      <c r="D94" s="99" t="s">
        <v>40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98">
        <v>46009.0</v>
      </c>
      <c r="B95" s="41" t="s">
        <v>56</v>
      </c>
      <c r="C95" s="41">
        <v>14.0</v>
      </c>
      <c r="D95" s="99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B96" s="41" t="s">
        <v>132</v>
      </c>
      <c r="C96" s="41">
        <v>12.0</v>
      </c>
      <c r="D96" s="99" t="s">
        <v>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98">
        <v>46010.0</v>
      </c>
      <c r="B97" s="41" t="s">
        <v>50</v>
      </c>
      <c r="C97" s="41">
        <v>32.0</v>
      </c>
      <c r="D97" s="99" t="s">
        <v>40</v>
      </c>
      <c r="E97" s="4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B98" s="41" t="s">
        <v>41</v>
      </c>
      <c r="C98" s="41">
        <v>1000.0</v>
      </c>
      <c r="D98" s="99" t="s">
        <v>101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B99" s="41" t="s">
        <v>80</v>
      </c>
      <c r="C99" s="41">
        <v>138.0</v>
      </c>
      <c r="D99" s="99" t="s">
        <v>40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B100" s="41" t="s">
        <v>514</v>
      </c>
      <c r="C100" s="41">
        <v>569.0</v>
      </c>
      <c r="D100" s="99" t="s">
        <v>48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98">
        <v>46011.0</v>
      </c>
      <c r="B101" s="41" t="s">
        <v>86</v>
      </c>
      <c r="C101" s="41">
        <f>975-120</f>
        <v>855</v>
      </c>
      <c r="D101" s="99" t="s">
        <v>40</v>
      </c>
      <c r="E101" s="4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B102" s="41" t="s">
        <v>33</v>
      </c>
      <c r="C102" s="41">
        <v>100.0</v>
      </c>
      <c r="D102" s="99" t="s">
        <v>40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B103" s="41" t="s">
        <v>515</v>
      </c>
      <c r="C103" s="41">
        <v>106.0</v>
      </c>
      <c r="D103" s="99" t="s">
        <v>40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B104" s="41" t="s">
        <v>93</v>
      </c>
      <c r="C104" s="41">
        <v>58.0</v>
      </c>
      <c r="D104" s="99" t="s">
        <v>40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98">
        <v>46012.0</v>
      </c>
      <c r="B105" s="41" t="s">
        <v>37</v>
      </c>
      <c r="C105" s="41">
        <v>50.0</v>
      </c>
      <c r="D105" s="99" t="s">
        <v>40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B106" s="41" t="s">
        <v>405</v>
      </c>
      <c r="C106" s="41">
        <v>50.0</v>
      </c>
      <c r="D106" s="99" t="s">
        <v>40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B107" s="41" t="s">
        <v>167</v>
      </c>
      <c r="C107" s="41">
        <v>20.0</v>
      </c>
      <c r="D107" s="99" t="s">
        <v>40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B108" s="41" t="s">
        <v>93</v>
      </c>
      <c r="C108" s="41">
        <v>97.0</v>
      </c>
      <c r="D108" s="99" t="s">
        <v>40</v>
      </c>
      <c r="E108" s="4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98">
        <v>46013.0</v>
      </c>
      <c r="B109" s="41" t="s">
        <v>56</v>
      </c>
      <c r="C109" s="41">
        <v>14.0</v>
      </c>
      <c r="D109" s="99" t="s">
        <v>40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B110" s="41" t="s">
        <v>136</v>
      </c>
      <c r="C110" s="41">
        <v>20.0</v>
      </c>
      <c r="D110" s="99" t="s">
        <v>40</v>
      </c>
      <c r="E110" s="4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B111" s="41" t="s">
        <v>80</v>
      </c>
      <c r="C111" s="41">
        <v>118.0</v>
      </c>
      <c r="D111" s="99" t="s">
        <v>40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41" t="s">
        <v>516</v>
      </c>
      <c r="C112" s="41">
        <v>73.0</v>
      </c>
      <c r="D112" s="99" t="s">
        <v>48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B113" s="41" t="s">
        <v>517</v>
      </c>
      <c r="C113" s="41">
        <v>18.0</v>
      </c>
      <c r="D113" s="99" t="s">
        <v>40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98">
        <v>46014.0</v>
      </c>
      <c r="B114" s="41" t="s">
        <v>50</v>
      </c>
      <c r="C114" s="41">
        <v>30.0</v>
      </c>
      <c r="D114" s="99" t="s">
        <v>40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B115" s="41" t="s">
        <v>136</v>
      </c>
      <c r="C115" s="41">
        <v>20.0</v>
      </c>
      <c r="D115" s="99" t="s">
        <v>40</v>
      </c>
      <c r="E115" s="4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B116" s="41" t="s">
        <v>91</v>
      </c>
      <c r="C116" s="41">
        <v>38.0</v>
      </c>
      <c r="D116" s="99" t="s">
        <v>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B117" s="41" t="s">
        <v>132</v>
      </c>
      <c r="C117" s="41">
        <v>12.0</v>
      </c>
      <c r="D117" s="99" t="s">
        <v>40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98">
        <v>46015.0</v>
      </c>
      <c r="B118" s="41" t="s">
        <v>50</v>
      </c>
      <c r="C118" s="41">
        <v>35.0</v>
      </c>
      <c r="D118" s="99" t="s">
        <v>40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B119" s="41" t="s">
        <v>56</v>
      </c>
      <c r="C119" s="41">
        <v>14.0</v>
      </c>
      <c r="D119" s="99" t="s">
        <v>40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98">
        <v>46016.0</v>
      </c>
      <c r="B120" s="41" t="s">
        <v>50</v>
      </c>
      <c r="C120" s="41">
        <v>30.0</v>
      </c>
      <c r="D120" s="99" t="s">
        <v>40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B121" s="41" t="s">
        <v>518</v>
      </c>
      <c r="C121" s="41">
        <v>35.0</v>
      </c>
      <c r="D121" s="99" t="s">
        <v>40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98">
        <v>46017.0</v>
      </c>
      <c r="B122" s="41" t="s">
        <v>112</v>
      </c>
      <c r="C122" s="41">
        <v>45.0</v>
      </c>
      <c r="D122" s="99" t="s">
        <v>40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98">
        <v>46018.0</v>
      </c>
      <c r="B123" s="41" t="s">
        <v>95</v>
      </c>
      <c r="C123" s="41">
        <v>210.0</v>
      </c>
      <c r="D123" s="99" t="s">
        <v>40</v>
      </c>
      <c r="E123" s="41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B124" s="41" t="s">
        <v>113</v>
      </c>
      <c r="C124" s="44">
        <f>65+59</f>
        <v>124</v>
      </c>
      <c r="D124" s="99" t="s">
        <v>48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B125" s="41" t="s">
        <v>74</v>
      </c>
      <c r="C125" s="41">
        <v>43.0</v>
      </c>
      <c r="D125" s="99" t="s">
        <v>40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B126" s="41" t="s">
        <v>343</v>
      </c>
      <c r="C126" s="41">
        <v>40.0</v>
      </c>
      <c r="D126" s="99" t="s">
        <v>40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B127" s="41" t="s">
        <v>519</v>
      </c>
      <c r="C127" s="41">
        <v>40.0</v>
      </c>
      <c r="D127" s="99" t="s">
        <v>40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98">
        <v>46019.0</v>
      </c>
      <c r="B128" s="41" t="s">
        <v>520</v>
      </c>
      <c r="C128" s="41">
        <v>33.0</v>
      </c>
      <c r="D128" s="99" t="s">
        <v>40</v>
      </c>
      <c r="E128" s="41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B129" s="41" t="s">
        <v>255</v>
      </c>
      <c r="C129" s="41">
        <v>200.0</v>
      </c>
      <c r="D129" s="99" t="s">
        <v>101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98">
        <v>46020.0</v>
      </c>
      <c r="B130" s="41" t="s">
        <v>56</v>
      </c>
      <c r="C130" s="41">
        <v>14.0</v>
      </c>
      <c r="D130" s="99" t="s">
        <v>40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B131" s="41" t="s">
        <v>91</v>
      </c>
      <c r="C131" s="41">
        <v>42.0</v>
      </c>
      <c r="D131" s="99" t="s">
        <v>40</v>
      </c>
      <c r="E131" s="41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B132" s="41" t="s">
        <v>428</v>
      </c>
      <c r="C132" s="41">
        <v>754.0</v>
      </c>
      <c r="D132" s="99" t="s">
        <v>48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33"/>
      <c r="B133" s="44"/>
      <c r="C133" s="44"/>
      <c r="D133" s="99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33"/>
      <c r="B134" s="44"/>
      <c r="C134" s="44"/>
      <c r="D134" s="99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33"/>
      <c r="B135" s="44"/>
      <c r="C135" s="44"/>
      <c r="D135" s="99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33"/>
      <c r="B136" s="44"/>
      <c r="C136" s="44"/>
      <c r="D136" s="99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33"/>
      <c r="B137" s="44"/>
      <c r="C137" s="44"/>
      <c r="D137" s="99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33"/>
      <c r="B138" s="44"/>
      <c r="C138" s="44"/>
      <c r="D138" s="99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33"/>
      <c r="B139" s="44"/>
      <c r="C139" s="44"/>
      <c r="D139" s="13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33"/>
      <c r="B140" s="44"/>
      <c r="C140" s="5"/>
      <c r="D140" s="135"/>
      <c r="E140" s="41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33"/>
      <c r="B141" s="44"/>
      <c r="C141" s="44"/>
      <c r="D141" s="13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33"/>
      <c r="B142" s="44"/>
      <c r="C142" s="44"/>
      <c r="D142" s="13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33"/>
      <c r="B143" s="44"/>
      <c r="C143" s="5"/>
      <c r="D143" s="135"/>
      <c r="E143" s="41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33"/>
      <c r="B144" s="44"/>
      <c r="C144" s="44"/>
      <c r="D144" s="13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33"/>
      <c r="B145" s="44"/>
      <c r="C145" s="44"/>
      <c r="D145" s="13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33"/>
      <c r="B146" s="44"/>
      <c r="C146" s="44"/>
      <c r="D146" s="13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33"/>
      <c r="B147" s="44"/>
      <c r="C147" s="44"/>
      <c r="D147" s="13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33"/>
      <c r="B148" s="44"/>
      <c r="C148" s="44"/>
      <c r="D148" s="13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33"/>
      <c r="B149" s="44"/>
      <c r="C149" s="44"/>
      <c r="D149" s="13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33"/>
      <c r="B150" s="44"/>
      <c r="C150" s="5"/>
      <c r="D150" s="13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33"/>
      <c r="B151" s="44"/>
      <c r="C151" s="44"/>
      <c r="D151" s="13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33"/>
      <c r="B152" s="44"/>
      <c r="C152" s="44"/>
      <c r="D152" s="13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33"/>
      <c r="B153" s="44"/>
      <c r="C153" s="5"/>
      <c r="D153" s="135"/>
      <c r="E153" s="41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33"/>
      <c r="B154" s="44"/>
      <c r="C154" s="44"/>
      <c r="D154" s="13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33"/>
      <c r="B155" s="44"/>
      <c r="C155" s="44"/>
      <c r="D155" s="13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33"/>
      <c r="B156" s="44"/>
      <c r="C156" s="44"/>
      <c r="D156" s="13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33"/>
      <c r="B157" s="44"/>
      <c r="C157" s="44"/>
      <c r="D157" s="13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33"/>
      <c r="B158" s="44"/>
      <c r="C158" s="44"/>
      <c r="D158" s="13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33"/>
      <c r="B159" s="44"/>
      <c r="C159" s="44"/>
      <c r="D159" s="13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33"/>
      <c r="B160" s="44"/>
      <c r="C160" s="44"/>
      <c r="D160" s="13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33"/>
      <c r="B161" s="44"/>
      <c r="C161" s="44"/>
      <c r="D161" s="13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13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13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4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4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4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4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4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4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4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4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4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4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4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4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4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4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4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4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4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4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4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4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4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4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4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4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4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4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4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4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4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4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4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4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4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4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4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4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4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4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4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4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4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4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4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4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4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4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4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4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4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4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4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4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4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4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4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4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4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4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4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4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4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4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4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4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4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4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4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4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4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4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4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4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4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4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4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4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4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4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4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4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4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4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4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4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4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4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4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4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4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4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4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4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4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4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4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4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4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4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4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4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4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4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4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4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4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4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4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4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4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4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4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4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4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4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4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4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4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4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4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4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4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4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4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4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4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4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4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4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4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4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4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4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4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4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4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4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4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4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4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4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4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4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4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4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4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4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4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4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4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4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4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4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4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4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4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4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4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4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4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4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4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4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4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4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4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4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4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4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4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4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4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4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4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4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4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4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4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4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4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4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4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4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4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4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4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4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4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4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4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4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4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4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4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4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4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4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4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4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4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4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4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4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4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4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4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4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4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4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4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4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4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4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4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4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4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4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4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4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4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4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4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4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4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4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4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4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4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4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4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4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4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4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4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4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4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4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4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4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4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4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4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4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4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4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4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4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4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4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4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4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4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4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4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4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4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4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4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4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4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4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4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4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4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4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4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4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4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4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4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4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4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4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4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4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4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4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4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4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4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4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4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4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4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4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4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4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4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4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4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4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4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4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4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4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4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4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4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4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4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4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4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4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4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4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4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4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4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4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4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4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4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4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4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4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4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4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4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4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4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4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4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4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4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4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4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4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4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4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4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4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4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4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4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4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4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4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4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4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4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4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4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4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4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4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4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4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4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4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4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4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4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4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4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4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4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4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4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4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4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4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4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4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4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4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4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4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4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4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4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4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4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4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4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4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4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4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4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4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4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4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4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4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4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4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4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4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4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4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4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4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4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4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4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4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4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4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4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4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4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4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4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4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4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4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4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4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4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4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4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4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4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4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4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4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4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4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4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4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4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4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4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4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4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4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4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4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4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4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4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4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4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4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4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4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4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4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4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4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4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4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4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4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4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4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4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4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4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4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4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4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4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4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4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4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4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4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4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4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4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4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4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4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4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4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4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4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4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4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4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4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4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4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4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4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4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4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4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4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4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4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4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4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4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4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4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4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4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4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4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4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4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4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4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4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4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4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4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4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4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4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4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4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4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4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4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4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4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4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4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4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4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4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4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4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4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4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4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4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4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4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4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4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4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4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4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4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4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4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4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4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4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4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4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4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4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4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4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4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4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4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4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4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4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4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4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4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4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4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4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4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4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4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4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4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4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4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4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4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4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4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4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4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4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4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4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4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4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4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4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4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4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4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4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4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4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4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4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4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4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4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4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4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4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4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4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4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4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4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4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4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4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4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4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4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4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4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4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4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4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4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4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4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4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4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4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4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4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4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4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4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4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4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4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4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4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4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4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4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4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4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4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4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4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4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4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4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4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4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4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4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4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4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4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4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4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4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4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4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4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4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4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4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4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4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4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4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4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4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4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4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4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4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4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4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4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4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4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4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4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4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4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4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4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4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4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4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4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4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4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4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4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4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4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4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4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4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4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4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4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4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4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4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4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4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4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4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4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4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4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4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4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4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4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4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4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4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4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4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4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4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4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4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4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4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4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4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4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4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4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4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4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4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4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4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4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4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4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4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4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4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4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4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4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4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4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4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4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4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4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4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4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4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4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4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4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4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4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4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4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4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4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4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4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4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4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4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4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4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4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4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4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4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4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4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4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4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4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4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4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4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4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4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4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4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4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4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4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4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4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4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4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4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4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4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4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4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4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4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4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4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4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4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4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4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4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4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4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4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4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4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4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4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4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4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4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4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4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4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4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4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4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4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4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4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4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4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4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4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4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4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4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4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4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4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4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4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4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4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4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4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4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4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4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4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4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4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4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4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4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4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4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4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4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4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4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4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4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42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42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4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42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42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42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42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42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42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42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42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42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42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42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</sheetData>
  <mergeCells count="41">
    <mergeCell ref="G15:H15"/>
    <mergeCell ref="G16:H16"/>
    <mergeCell ref="G18:H18"/>
    <mergeCell ref="G19:H19"/>
    <mergeCell ref="F24:J24"/>
    <mergeCell ref="A2:A8"/>
    <mergeCell ref="F2:F3"/>
    <mergeCell ref="F5:F6"/>
    <mergeCell ref="A9:A14"/>
    <mergeCell ref="G13:H13"/>
    <mergeCell ref="G14:H14"/>
    <mergeCell ref="A15:A19"/>
    <mergeCell ref="A20:A23"/>
    <mergeCell ref="A24:A28"/>
    <mergeCell ref="A29:A33"/>
    <mergeCell ref="A34:A36"/>
    <mergeCell ref="A37:A40"/>
    <mergeCell ref="A41:A44"/>
    <mergeCell ref="A45:A48"/>
    <mergeCell ref="A49:A53"/>
    <mergeCell ref="A54:A57"/>
    <mergeCell ref="A58:A61"/>
    <mergeCell ref="A62:A64"/>
    <mergeCell ref="A65:A68"/>
    <mergeCell ref="A69:A74"/>
    <mergeCell ref="A75:A78"/>
    <mergeCell ref="A105:A108"/>
    <mergeCell ref="A109:A113"/>
    <mergeCell ref="A114:A117"/>
    <mergeCell ref="A118:A119"/>
    <mergeCell ref="A120:A121"/>
    <mergeCell ref="A123:A127"/>
    <mergeCell ref="A128:A129"/>
    <mergeCell ref="A130:A132"/>
    <mergeCell ref="A79:A84"/>
    <mergeCell ref="A85:A89"/>
    <mergeCell ref="A90:A92"/>
    <mergeCell ref="A93:A94"/>
    <mergeCell ref="A95:A96"/>
    <mergeCell ref="A97:A100"/>
    <mergeCell ref="A101:A10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4.38"/>
    <col customWidth="1" min="3" max="3" width="15.25"/>
    <col customWidth="1" min="4" max="4" width="20.25"/>
    <col customWidth="1" min="5" max="5" width="19.13"/>
    <col customWidth="1" min="6" max="6" width="22.25"/>
    <col customWidth="1" min="7" max="7" width="36.0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8">
        <v>45960.0</v>
      </c>
      <c r="B2" s="41" t="s">
        <v>84</v>
      </c>
      <c r="C2" s="41">
        <v>2000.0</v>
      </c>
      <c r="D2" s="99" t="s">
        <v>468</v>
      </c>
      <c r="E2" s="5"/>
      <c r="F2" s="100">
        <v>45930.0</v>
      </c>
      <c r="G2" s="101" t="s">
        <v>521</v>
      </c>
      <c r="H2" s="102">
        <f>'T102025'!G18</f>
        <v>1664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41" t="s">
        <v>152</v>
      </c>
      <c r="C3" s="41">
        <v>14.0</v>
      </c>
      <c r="D3" s="99" t="s">
        <v>40</v>
      </c>
      <c r="E3" s="5"/>
      <c r="F3" s="92"/>
      <c r="G3" s="41" t="s">
        <v>522</v>
      </c>
      <c r="H3" s="104">
        <v>27279.0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1" t="s">
        <v>523</v>
      </c>
      <c r="C4" s="41">
        <v>15250.0</v>
      </c>
      <c r="D4" s="99" t="s">
        <v>467</v>
      </c>
      <c r="E4" s="5"/>
      <c r="F4" s="103">
        <v>45941.0</v>
      </c>
      <c r="G4" s="41" t="s">
        <v>524</v>
      </c>
      <c r="H4" s="104">
        <f>2000</f>
        <v>2000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41" t="s">
        <v>91</v>
      </c>
      <c r="C5" s="41">
        <f>115-50</f>
        <v>65</v>
      </c>
      <c r="D5" s="99" t="s">
        <v>40</v>
      </c>
      <c r="E5" s="41"/>
      <c r="F5" s="103">
        <v>45944.0</v>
      </c>
      <c r="G5" s="41" t="s">
        <v>523</v>
      </c>
      <c r="H5" s="104">
        <v>10000.0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41" t="s">
        <v>351</v>
      </c>
      <c r="C6" s="41">
        <v>500.0</v>
      </c>
      <c r="D6" s="99" t="s">
        <v>499</v>
      </c>
      <c r="E6" s="5"/>
      <c r="F6" s="103">
        <v>45945.0</v>
      </c>
      <c r="G6" s="41" t="s">
        <v>20</v>
      </c>
      <c r="H6" s="104">
        <v>2500.0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41" t="s">
        <v>108</v>
      </c>
      <c r="C7" s="41">
        <v>500.0</v>
      </c>
      <c r="D7" s="99" t="s">
        <v>499</v>
      </c>
      <c r="E7" s="5"/>
      <c r="F7" s="103">
        <v>45946.0</v>
      </c>
      <c r="G7" s="41" t="s">
        <v>523</v>
      </c>
      <c r="H7" s="104">
        <v>5000.0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41" t="s">
        <v>112</v>
      </c>
      <c r="C8" s="41">
        <v>50.0</v>
      </c>
      <c r="D8" s="99" t="s">
        <v>40</v>
      </c>
      <c r="E8" s="5"/>
      <c r="F8" s="103">
        <v>45954.0</v>
      </c>
      <c r="G8" s="41" t="s">
        <v>199</v>
      </c>
      <c r="H8" s="104">
        <v>1000.0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41" t="s">
        <v>525</v>
      </c>
      <c r="C9" s="41">
        <v>791.0</v>
      </c>
      <c r="D9" s="99" t="s">
        <v>101</v>
      </c>
      <c r="E9" s="5"/>
      <c r="F9" s="92"/>
      <c r="G9" s="41" t="s">
        <v>202</v>
      </c>
      <c r="H9" s="104">
        <v>300.0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8">
        <v>45961.0</v>
      </c>
      <c r="B10" s="41" t="s">
        <v>50</v>
      </c>
      <c r="C10" s="41">
        <v>30.0</v>
      </c>
      <c r="D10" s="99" t="s">
        <v>40</v>
      </c>
      <c r="E10" s="5"/>
      <c r="F10" s="103"/>
      <c r="G10" s="41"/>
      <c r="H10" s="10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B11" s="41" t="s">
        <v>526</v>
      </c>
      <c r="C11" s="41">
        <v>200.0</v>
      </c>
      <c r="D11" s="99" t="s">
        <v>101</v>
      </c>
      <c r="E11" s="5"/>
      <c r="F11" s="103"/>
      <c r="G11" s="41"/>
      <c r="H11" s="10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B12" s="41" t="s">
        <v>91</v>
      </c>
      <c r="C12" s="41">
        <v>75.0</v>
      </c>
      <c r="D12" s="99" t="s">
        <v>40</v>
      </c>
      <c r="E12" s="5"/>
      <c r="F12" s="112"/>
      <c r="G12" s="113"/>
      <c r="H12" s="11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41" t="s">
        <v>148</v>
      </c>
      <c r="C13" s="41">
        <v>60.0</v>
      </c>
      <c r="D13" s="99" t="s">
        <v>40</v>
      </c>
      <c r="E13" s="5"/>
      <c r="F13" s="115" t="s">
        <v>49</v>
      </c>
      <c r="G13" s="116">
        <f>SUM(H2:H12)</f>
        <v>49743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41" t="s">
        <v>526</v>
      </c>
      <c r="C14" s="41">
        <v>2000.0</v>
      </c>
      <c r="D14" s="99" t="s">
        <v>101</v>
      </c>
      <c r="E14" s="5"/>
      <c r="F14" s="117" t="s">
        <v>51</v>
      </c>
      <c r="G14" s="118">
        <f>SUMIF(D2:D213, "&lt;&gt;Credit", C2:C521) + G15</f>
        <v>49324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41" t="s">
        <v>527</v>
      </c>
      <c r="C15" s="41">
        <v>500.0</v>
      </c>
      <c r="D15" s="99" t="s">
        <v>499</v>
      </c>
      <c r="E15" s="5"/>
      <c r="F15" s="117" t="s">
        <v>53</v>
      </c>
      <c r="G15" s="119">
        <f>112+50-63+10+96+20+1+12</f>
        <v>238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B16" s="41" t="s">
        <v>527</v>
      </c>
      <c r="C16" s="41">
        <v>100.0</v>
      </c>
      <c r="D16" s="99" t="s">
        <v>34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8">
        <v>45962.0</v>
      </c>
      <c r="B17" s="41" t="s">
        <v>86</v>
      </c>
      <c r="C17" s="41">
        <f>120+608</f>
        <v>728</v>
      </c>
      <c r="D17" s="99" t="s">
        <v>101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B18" s="41" t="s">
        <v>353</v>
      </c>
      <c r="C18" s="41">
        <v>30.0</v>
      </c>
      <c r="D18" s="99" t="s">
        <v>40</v>
      </c>
      <c r="E18" s="5"/>
      <c r="F18" s="117" t="s">
        <v>500</v>
      </c>
      <c r="G18" s="121">
        <f>G13-G14-J32</f>
        <v>419</v>
      </c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B19" s="41" t="s">
        <v>148</v>
      </c>
      <c r="C19" s="41">
        <v>131.0</v>
      </c>
      <c r="D19" s="99" t="s">
        <v>40</v>
      </c>
      <c r="E19" s="5"/>
      <c r="F19" s="117" t="s">
        <v>501</v>
      </c>
      <c r="G19" s="122">
        <f>G13-G14</f>
        <v>419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8">
        <v>45963.0</v>
      </c>
      <c r="B20" s="41" t="s">
        <v>528</v>
      </c>
      <c r="C20" s="41">
        <v>-100.0</v>
      </c>
      <c r="D20" s="99" t="s">
        <v>34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B21" s="41" t="s">
        <v>529</v>
      </c>
      <c r="C21" s="41">
        <v>25.0</v>
      </c>
      <c r="D21" s="99" t="s">
        <v>40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41" t="s">
        <v>148</v>
      </c>
      <c r="C22" s="41">
        <v>28.0</v>
      </c>
      <c r="D22" s="99" t="s">
        <v>40</v>
      </c>
      <c r="E22" s="5"/>
      <c r="F22" s="124" t="s">
        <v>40</v>
      </c>
      <c r="G22" s="19">
        <v>5000.0</v>
      </c>
      <c r="H22" s="37">
        <f>SUMIF(D2:D136, "=Living expense",C2:C154)+G15</f>
        <v>5889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41" t="s">
        <v>168</v>
      </c>
      <c r="C23" s="41">
        <v>320.0</v>
      </c>
      <c r="D23" s="99" t="s">
        <v>190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8">
        <v>45964.0</v>
      </c>
      <c r="B24" s="41" t="s">
        <v>56</v>
      </c>
      <c r="C24" s="41">
        <v>14.0</v>
      </c>
      <c r="D24" s="99" t="s">
        <v>40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41" t="s">
        <v>91</v>
      </c>
      <c r="C25" s="41">
        <f>108-35</f>
        <v>73</v>
      </c>
      <c r="D25" s="99" t="s">
        <v>40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B26" s="41" t="s">
        <v>148</v>
      </c>
      <c r="C26" s="41">
        <v>42.0</v>
      </c>
      <c r="D26" s="99" t="s">
        <v>40</v>
      </c>
      <c r="E26" s="5"/>
      <c r="F26" s="149" t="s">
        <v>12</v>
      </c>
      <c r="G26" s="150">
        <v>3000.0</v>
      </c>
      <c r="H26" s="151">
        <f>IFERROR(__xludf.DUMMYFUNCTION("SUMIF($D$2:$D$512, TO_TEXT(F26) ,$C$2:$C$512)"),5000.0)</f>
        <v>5000</v>
      </c>
      <c r="I26" s="117" t="b">
        <v>1</v>
      </c>
      <c r="J26" s="37">
        <f t="shared" ref="J26:J31" si="1">IF(I26=TRUE,0,MAX(G26-H26,0))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B27" s="41" t="s">
        <v>305</v>
      </c>
      <c r="C27" s="41">
        <v>107.0</v>
      </c>
      <c r="D27" s="99" t="s">
        <v>40</v>
      </c>
      <c r="E27" s="5"/>
      <c r="F27" s="149" t="s">
        <v>475</v>
      </c>
      <c r="G27" s="150">
        <v>7000.0</v>
      </c>
      <c r="H27" s="151">
        <f>IFERROR(__xludf.DUMMYFUNCTION("SUMIF($D$2:$D$512, TO_TEXT(F27) ,$C$2:$C$512)"),7019.0)</f>
        <v>7019</v>
      </c>
      <c r="I27" s="117" t="b">
        <v>1</v>
      </c>
      <c r="J27" s="37">
        <f t="shared" si="1"/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8">
        <v>45965.0</v>
      </c>
      <c r="B28" s="41" t="s">
        <v>56</v>
      </c>
      <c r="C28" s="41">
        <v>14.0</v>
      </c>
      <c r="D28" s="99" t="s">
        <v>40</v>
      </c>
      <c r="E28" s="5"/>
      <c r="F28" s="152" t="s">
        <v>499</v>
      </c>
      <c r="G28" s="150">
        <v>1500.0</v>
      </c>
      <c r="H28" s="151">
        <f>IFERROR(__xludf.DUMMYFUNCTION("SUMIF($D$2:$D$512, TO_TEXT(F28) ,$C$2:$C$512)"),1500.0)</f>
        <v>1500</v>
      </c>
      <c r="I28" s="19" t="b">
        <v>1</v>
      </c>
      <c r="J28" s="151">
        <f t="shared" si="1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B29" s="41" t="s">
        <v>91</v>
      </c>
      <c r="C29" s="41">
        <v>75.0</v>
      </c>
      <c r="D29" s="99" t="s">
        <v>40</v>
      </c>
      <c r="E29" s="5"/>
      <c r="F29" s="152" t="s">
        <v>101</v>
      </c>
      <c r="G29" s="150">
        <v>3000.0</v>
      </c>
      <c r="H29" s="151">
        <f>IFERROR(__xludf.DUMMYFUNCTION("SUMIF($D$2:$D$512, TO_TEXT(F29) ,$C$2:$C$512)"),9063.0)</f>
        <v>9063</v>
      </c>
      <c r="I29" s="19" t="b">
        <v>1</v>
      </c>
      <c r="J29" s="151">
        <f t="shared" si="1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B30" s="41" t="s">
        <v>152</v>
      </c>
      <c r="C30" s="41">
        <v>43.0</v>
      </c>
      <c r="D30" s="99" t="s">
        <v>40</v>
      </c>
      <c r="E30" s="5"/>
      <c r="F30" s="152" t="s">
        <v>467</v>
      </c>
      <c r="G30" s="150">
        <v>15250.0</v>
      </c>
      <c r="H30" s="151">
        <f>IFERROR(__xludf.DUMMYFUNCTION("SUMIF($D$2:$D$512, TO_TEXT(F30) ,$C$2:$C$512)"),15250.0)</f>
        <v>15250</v>
      </c>
      <c r="I30" s="19" t="b">
        <v>1</v>
      </c>
      <c r="J30" s="151">
        <f t="shared" si="1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41" t="s">
        <v>165</v>
      </c>
      <c r="C31" s="41">
        <v>1019.0</v>
      </c>
      <c r="D31" s="99" t="s">
        <v>475</v>
      </c>
      <c r="E31" s="5"/>
      <c r="F31" s="152" t="s">
        <v>468</v>
      </c>
      <c r="G31" s="150">
        <v>2000.0</v>
      </c>
      <c r="H31" s="151">
        <f>IFERROR(__xludf.DUMMYFUNCTION("SUMIF($D$2:$D$512, TO_TEXT(F31) ,$C$2:$C$512)"),2000.0)</f>
        <v>2000</v>
      </c>
      <c r="I31" s="19" t="b">
        <v>1</v>
      </c>
      <c r="J31" s="151">
        <f t="shared" si="1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B32" s="41" t="s">
        <v>305</v>
      </c>
      <c r="C32" s="41">
        <v>38.0</v>
      </c>
      <c r="D32" s="99" t="s">
        <v>40</v>
      </c>
      <c r="E32" s="5"/>
      <c r="F32" s="153" t="s">
        <v>73</v>
      </c>
      <c r="G32" s="154">
        <f>SUM(G26:G31)</f>
        <v>31750</v>
      </c>
      <c r="H32" s="155">
        <f>SUM(H26:H29)</f>
        <v>22582</v>
      </c>
      <c r="I32" s="158"/>
      <c r="J32" s="155">
        <f>SUM(J26:J31)</f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8">
        <v>45966.0</v>
      </c>
      <c r="B33" s="41" t="s">
        <v>530</v>
      </c>
      <c r="C33" s="41">
        <f>58+65</f>
        <v>123</v>
      </c>
      <c r="D33" s="99" t="s">
        <v>101</v>
      </c>
      <c r="E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B34" s="41" t="s">
        <v>56</v>
      </c>
      <c r="C34" s="41">
        <v>14.0</v>
      </c>
      <c r="D34" s="99" t="s">
        <v>40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41" t="s">
        <v>91</v>
      </c>
      <c r="C35" s="41">
        <v>72.0</v>
      </c>
      <c r="D35" s="99" t="s">
        <v>40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8">
        <v>45967.0</v>
      </c>
      <c r="B36" s="41" t="s">
        <v>156</v>
      </c>
      <c r="C36" s="41">
        <v>13.0</v>
      </c>
      <c r="D36" s="99" t="s">
        <v>40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B37" s="41" t="s">
        <v>37</v>
      </c>
      <c r="C37" s="41">
        <v>55.0</v>
      </c>
      <c r="D37" s="99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B38" s="41" t="s">
        <v>91</v>
      </c>
      <c r="C38" s="41">
        <v>100.0</v>
      </c>
      <c r="D38" s="99" t="s">
        <v>40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B39" s="41" t="s">
        <v>531</v>
      </c>
      <c r="C39" s="41">
        <v>88.0</v>
      </c>
      <c r="D39" s="99" t="s">
        <v>40</v>
      </c>
      <c r="E39" s="4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B40" s="41" t="s">
        <v>148</v>
      </c>
      <c r="C40" s="41">
        <v>50.0</v>
      </c>
      <c r="D40" s="99" t="s">
        <v>40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8">
        <v>45968.0</v>
      </c>
      <c r="B41" s="41" t="s">
        <v>532</v>
      </c>
      <c r="C41" s="41">
        <v>650.0</v>
      </c>
      <c r="D41" s="99" t="s">
        <v>48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B42" s="41" t="s">
        <v>156</v>
      </c>
      <c r="C42" s="41">
        <v>10.0</v>
      </c>
      <c r="D42" s="99" t="s">
        <v>40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41" t="s">
        <v>93</v>
      </c>
      <c r="C43" s="41">
        <v>50.0</v>
      </c>
      <c r="D43" s="99" t="s">
        <v>40</v>
      </c>
      <c r="E43" s="4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B44" s="41" t="s">
        <v>533</v>
      </c>
      <c r="C44" s="41">
        <v>273.0</v>
      </c>
      <c r="D44" s="99" t="s">
        <v>190</v>
      </c>
      <c r="E44" s="4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8">
        <v>45969.0</v>
      </c>
      <c r="B45" s="41" t="s">
        <v>151</v>
      </c>
      <c r="C45" s="41">
        <v>40.0</v>
      </c>
      <c r="D45" s="99" t="s">
        <v>40</v>
      </c>
      <c r="E45" s="4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B46" s="41" t="s">
        <v>89</v>
      </c>
      <c r="C46" s="41">
        <v>37.0</v>
      </c>
      <c r="D46" s="99" t="s">
        <v>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B47" s="41" t="s">
        <v>534</v>
      </c>
      <c r="C47" s="41">
        <v>32.0</v>
      </c>
      <c r="D47" s="99" t="s">
        <v>40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B48" s="41" t="s">
        <v>427</v>
      </c>
      <c r="C48" s="41">
        <v>1000.0</v>
      </c>
      <c r="D48" s="99" t="s">
        <v>34</v>
      </c>
      <c r="E48" s="4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B49" s="41" t="s">
        <v>93</v>
      </c>
      <c r="C49" s="41">
        <v>154.0</v>
      </c>
      <c r="D49" s="99" t="s">
        <v>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98">
        <v>45970.0</v>
      </c>
      <c r="B50" s="41" t="s">
        <v>529</v>
      </c>
      <c r="C50" s="41">
        <f>5+20</f>
        <v>25</v>
      </c>
      <c r="D50" s="99" t="s">
        <v>40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B51" s="41" t="s">
        <v>93</v>
      </c>
      <c r="C51" s="41">
        <f>25+258+57</f>
        <v>340</v>
      </c>
      <c r="D51" s="99" t="s">
        <v>40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98">
        <v>45971.0</v>
      </c>
      <c r="B52" s="41" t="s">
        <v>50</v>
      </c>
      <c r="C52" s="41">
        <v>33.0</v>
      </c>
      <c r="D52" s="99" t="s">
        <v>40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B53" s="41" t="s">
        <v>56</v>
      </c>
      <c r="C53" s="41">
        <v>23.0</v>
      </c>
      <c r="D53" s="99" t="s">
        <v>40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B54" s="41" t="s">
        <v>93</v>
      </c>
      <c r="C54" s="41">
        <v>18.0</v>
      </c>
      <c r="D54" s="99" t="s">
        <v>40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41" t="s">
        <v>117</v>
      </c>
      <c r="C55" s="41">
        <v>294.0</v>
      </c>
      <c r="D55" s="99" t="s">
        <v>190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B56" s="41" t="s">
        <v>535</v>
      </c>
      <c r="C56" s="41">
        <v>261.0</v>
      </c>
      <c r="D56" s="99" t="s">
        <v>190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98">
        <v>45972.0</v>
      </c>
      <c r="B57" s="41" t="s">
        <v>536</v>
      </c>
      <c r="C57" s="41">
        <v>615.0</v>
      </c>
      <c r="D57" s="99" t="s">
        <v>190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B58" s="41" t="s">
        <v>50</v>
      </c>
      <c r="C58" s="41">
        <v>35.0</v>
      </c>
      <c r="D58" s="99" t="s">
        <v>40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B59" s="41" t="s">
        <v>175</v>
      </c>
      <c r="C59" s="41">
        <v>50.0</v>
      </c>
      <c r="D59" s="99" t="s">
        <v>40</v>
      </c>
      <c r="E59" s="4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B60" s="41" t="s">
        <v>148</v>
      </c>
      <c r="C60" s="41">
        <v>34.0</v>
      </c>
      <c r="D60" s="99" t="s">
        <v>40</v>
      </c>
      <c r="E60" s="4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8">
        <v>45973.0</v>
      </c>
      <c r="B61" s="41" t="s">
        <v>50</v>
      </c>
      <c r="C61" s="41">
        <v>40.0</v>
      </c>
      <c r="D61" s="99" t="s">
        <v>40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B62" s="41" t="s">
        <v>537</v>
      </c>
      <c r="C62" s="41">
        <v>17.0</v>
      </c>
      <c r="D62" s="99" t="s">
        <v>40</v>
      </c>
      <c r="E62" s="4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B63" s="41" t="s">
        <v>446</v>
      </c>
      <c r="C63" s="41">
        <v>54.0</v>
      </c>
      <c r="D63" s="99" t="s">
        <v>40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98">
        <v>45974.0</v>
      </c>
      <c r="B64" s="41" t="s">
        <v>50</v>
      </c>
      <c r="C64" s="41">
        <v>30.0</v>
      </c>
      <c r="D64" s="99" t="s">
        <v>40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B65" s="41" t="s">
        <v>91</v>
      </c>
      <c r="C65" s="41">
        <f>95-28</f>
        <v>67</v>
      </c>
      <c r="D65" s="99" t="s">
        <v>40</v>
      </c>
      <c r="E65" s="4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B66" s="41" t="s">
        <v>538</v>
      </c>
      <c r="C66" s="41">
        <v>279.0</v>
      </c>
      <c r="D66" s="99" t="s">
        <v>40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B67" s="41" t="s">
        <v>539</v>
      </c>
      <c r="C67" s="41">
        <v>83.0</v>
      </c>
      <c r="D67" s="99" t="s">
        <v>40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98">
        <v>45975.0</v>
      </c>
      <c r="B68" s="41" t="s">
        <v>37</v>
      </c>
      <c r="C68" s="41">
        <v>50.0</v>
      </c>
      <c r="D68" s="99" t="s">
        <v>40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B69" s="41" t="s">
        <v>286</v>
      </c>
      <c r="C69" s="41">
        <v>70.0</v>
      </c>
      <c r="D69" s="99" t="s">
        <v>40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B70" s="41" t="s">
        <v>540</v>
      </c>
      <c r="C70" s="41">
        <v>109.0</v>
      </c>
      <c r="D70" s="99" t="s">
        <v>40</v>
      </c>
      <c r="E70" s="4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41" t="s">
        <v>91</v>
      </c>
      <c r="C71" s="41">
        <v>52.0</v>
      </c>
      <c r="D71" s="99" t="s">
        <v>40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B72" s="41" t="s">
        <v>56</v>
      </c>
      <c r="C72" s="41">
        <v>28.0</v>
      </c>
      <c r="D72" s="99" t="s">
        <v>40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98">
        <v>45976.0</v>
      </c>
      <c r="B73" s="41" t="s">
        <v>95</v>
      </c>
      <c r="C73" s="41">
        <f>64+210+672+136+55+621+63</f>
        <v>1821</v>
      </c>
      <c r="D73" s="99" t="s">
        <v>101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41" t="s">
        <v>541</v>
      </c>
      <c r="C74" s="41">
        <v>5000.0</v>
      </c>
      <c r="D74" s="99" t="s">
        <v>12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B75" s="41" t="s">
        <v>475</v>
      </c>
      <c r="C75" s="41">
        <v>6000.0</v>
      </c>
      <c r="D75" s="99" t="s">
        <v>475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41" t="s">
        <v>86</v>
      </c>
      <c r="C76" s="41">
        <v>0.0</v>
      </c>
      <c r="D76" s="99" t="s">
        <v>101</v>
      </c>
      <c r="E76" s="41">
        <v>2801.0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B77" s="41" t="s">
        <v>270</v>
      </c>
      <c r="C77" s="41">
        <v>767.0</v>
      </c>
      <c r="D77" s="99" t="s">
        <v>190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B78" s="41" t="s">
        <v>80</v>
      </c>
      <c r="C78" s="41">
        <v>103.0</v>
      </c>
      <c r="D78" s="99" t="s">
        <v>40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98">
        <v>45977.0</v>
      </c>
      <c r="B79" s="41" t="s">
        <v>80</v>
      </c>
      <c r="C79" s="41">
        <v>66.0</v>
      </c>
      <c r="D79" s="99" t="s">
        <v>40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B80" s="41" t="s">
        <v>542</v>
      </c>
      <c r="C80" s="41">
        <v>3000.0</v>
      </c>
      <c r="D80" s="99" t="s">
        <v>101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8">
        <v>45978.0</v>
      </c>
      <c r="B81" s="41" t="s">
        <v>136</v>
      </c>
      <c r="C81" s="41">
        <v>16.0</v>
      </c>
      <c r="D81" s="99" t="s">
        <v>40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B82" s="41" t="s">
        <v>105</v>
      </c>
      <c r="C82" s="41">
        <f>104-50</f>
        <v>54</v>
      </c>
      <c r="D82" s="99" t="s">
        <v>40</v>
      </c>
      <c r="E82" s="4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B83" s="41" t="s">
        <v>146</v>
      </c>
      <c r="C83" s="41">
        <v>35.0</v>
      </c>
      <c r="D83" s="99" t="s">
        <v>40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41" t="s">
        <v>148</v>
      </c>
      <c r="C84" s="41">
        <v>57.0</v>
      </c>
      <c r="D84" s="99" t="s">
        <v>40</v>
      </c>
      <c r="E84" s="4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98">
        <v>45979.0</v>
      </c>
      <c r="B85" s="41" t="s">
        <v>136</v>
      </c>
      <c r="C85" s="41">
        <v>17.0</v>
      </c>
      <c r="D85" s="99" t="s">
        <v>40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B86" s="41" t="s">
        <v>146</v>
      </c>
      <c r="C86" s="41">
        <f>27+27</f>
        <v>54</v>
      </c>
      <c r="D86" s="99" t="s">
        <v>40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98">
        <v>45980.0</v>
      </c>
      <c r="B87" s="41" t="s">
        <v>156</v>
      </c>
      <c r="C87" s="41">
        <v>13.0</v>
      </c>
      <c r="D87" s="99" t="s">
        <v>40</v>
      </c>
      <c r="E87" s="4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B88" s="41" t="s">
        <v>175</v>
      </c>
      <c r="C88" s="41">
        <v>50.0</v>
      </c>
      <c r="D88" s="99" t="s">
        <v>40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B89" s="41" t="s">
        <v>56</v>
      </c>
      <c r="C89" s="41">
        <v>28.0</v>
      </c>
      <c r="D89" s="99" t="s">
        <v>40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98">
        <v>45981.0</v>
      </c>
      <c r="B90" s="41" t="s">
        <v>156</v>
      </c>
      <c r="C90" s="41">
        <v>13.0</v>
      </c>
      <c r="D90" s="99" t="s">
        <v>40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B91" s="41" t="s">
        <v>93</v>
      </c>
      <c r="C91" s="41">
        <v>50.0</v>
      </c>
      <c r="D91" s="99" t="s">
        <v>40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41" t="s">
        <v>327</v>
      </c>
      <c r="C92" s="41">
        <f>15+3</f>
        <v>18</v>
      </c>
      <c r="D92" s="99" t="s">
        <v>40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8">
        <v>45982.0</v>
      </c>
      <c r="B93" s="41" t="s">
        <v>543</v>
      </c>
      <c r="C93" s="44">
        <f>124+81-51-46-61</f>
        <v>47</v>
      </c>
      <c r="D93" s="99" t="s">
        <v>40</v>
      </c>
      <c r="E93" s="4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B94" s="41" t="s">
        <v>112</v>
      </c>
      <c r="C94" s="41">
        <v>50.0</v>
      </c>
      <c r="D94" s="99" t="s">
        <v>40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98">
        <v>45983.0</v>
      </c>
      <c r="B95" s="41" t="s">
        <v>86</v>
      </c>
      <c r="C95" s="44">
        <f>110+301+370+25+38+25+94</f>
        <v>963</v>
      </c>
      <c r="D95" s="99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B96" s="41" t="s">
        <v>56</v>
      </c>
      <c r="C96" s="41">
        <v>28.0</v>
      </c>
      <c r="D96" s="99" t="s">
        <v>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B97" s="41" t="s">
        <v>37</v>
      </c>
      <c r="C97" s="41">
        <v>55.0</v>
      </c>
      <c r="D97" s="99" t="s">
        <v>40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98">
        <v>45984.0</v>
      </c>
      <c r="B98" s="41" t="s">
        <v>544</v>
      </c>
      <c r="C98" s="41">
        <v>73.0</v>
      </c>
      <c r="D98" s="99" t="s">
        <v>190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B99" s="41" t="s">
        <v>148</v>
      </c>
      <c r="C99" s="41">
        <v>38.0</v>
      </c>
      <c r="D99" s="99" t="s">
        <v>40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B100" s="41" t="s">
        <v>112</v>
      </c>
      <c r="C100" s="41">
        <v>40.0</v>
      </c>
      <c r="D100" s="99" t="s">
        <v>40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98">
        <v>45985.0</v>
      </c>
      <c r="B101" s="41" t="s">
        <v>340</v>
      </c>
      <c r="C101" s="41">
        <v>17.0</v>
      </c>
      <c r="D101" s="99" t="s">
        <v>40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B102" s="41" t="s">
        <v>56</v>
      </c>
      <c r="C102" s="41">
        <v>14.0</v>
      </c>
      <c r="D102" s="99" t="s">
        <v>40</v>
      </c>
      <c r="E102" s="4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B103" s="41" t="s">
        <v>545</v>
      </c>
      <c r="C103" s="41">
        <v>33.0</v>
      </c>
      <c r="D103" s="99" t="s">
        <v>40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B104" s="41" t="s">
        <v>203</v>
      </c>
      <c r="C104" s="41">
        <f>113</f>
        <v>113</v>
      </c>
      <c r="D104" s="99" t="s">
        <v>40</v>
      </c>
      <c r="E104" s="4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B105" s="41" t="s">
        <v>93</v>
      </c>
      <c r="C105" s="41">
        <v>228.0</v>
      </c>
      <c r="D105" s="99" t="s">
        <v>40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98">
        <v>45986.0</v>
      </c>
      <c r="B106" s="41" t="s">
        <v>546</v>
      </c>
      <c r="C106" s="41">
        <v>88.0</v>
      </c>
      <c r="D106" s="99" t="s">
        <v>40</v>
      </c>
      <c r="E106" s="4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B107" s="41" t="s">
        <v>156</v>
      </c>
      <c r="C107" s="41">
        <v>11.0</v>
      </c>
      <c r="D107" s="99" t="s">
        <v>40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B108" s="41" t="s">
        <v>547</v>
      </c>
      <c r="C108" s="41">
        <v>35.0</v>
      </c>
      <c r="D108" s="99" t="s">
        <v>40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B109" s="41" t="s">
        <v>148</v>
      </c>
      <c r="C109" s="41">
        <v>102.0</v>
      </c>
      <c r="D109" s="99" t="s">
        <v>40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98"/>
      <c r="B110" s="41" t="s">
        <v>548</v>
      </c>
      <c r="C110" s="41">
        <v>400.0</v>
      </c>
      <c r="D110" s="99" t="s">
        <v>101</v>
      </c>
      <c r="E110" s="4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98">
        <v>45987.0</v>
      </c>
      <c r="B111" s="41" t="s">
        <v>50</v>
      </c>
      <c r="C111" s="41">
        <v>35.0</v>
      </c>
      <c r="D111" s="99" t="s">
        <v>40</v>
      </c>
      <c r="E111" s="4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41" t="s">
        <v>156</v>
      </c>
      <c r="C112" s="41">
        <v>13.0</v>
      </c>
      <c r="D112" s="99" t="s">
        <v>40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B113" s="41" t="s">
        <v>80</v>
      </c>
      <c r="C113" s="41">
        <v>101.0</v>
      </c>
      <c r="D113" s="99" t="s">
        <v>40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98"/>
      <c r="B114" s="44"/>
      <c r="C114" s="44"/>
      <c r="D114" s="99" t="s">
        <v>40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8"/>
      <c r="B115" s="44"/>
      <c r="C115" s="44"/>
      <c r="D115" s="13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8"/>
      <c r="B116" s="44"/>
      <c r="C116" s="44"/>
      <c r="D116" s="13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8"/>
      <c r="B117" s="44"/>
      <c r="C117" s="44"/>
      <c r="D117" s="135"/>
      <c r="E117" s="4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8"/>
      <c r="B118" s="44"/>
      <c r="C118" s="44"/>
      <c r="D118" s="13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8"/>
      <c r="B119" s="44"/>
      <c r="C119" s="44"/>
      <c r="D119" s="13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8"/>
      <c r="B120" s="44"/>
      <c r="C120" s="44"/>
      <c r="D120" s="13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8"/>
      <c r="B121" s="44"/>
      <c r="C121" s="44"/>
      <c r="D121" s="13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8"/>
      <c r="B122" s="44"/>
      <c r="C122" s="44"/>
      <c r="D122" s="135"/>
      <c r="E122" s="41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8"/>
      <c r="B123" s="44"/>
      <c r="C123" s="44"/>
      <c r="D123" s="13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8"/>
      <c r="B124" s="44"/>
      <c r="C124" s="44"/>
      <c r="D124" s="13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8"/>
      <c r="B125" s="44"/>
      <c r="C125" s="44"/>
      <c r="D125" s="13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8"/>
      <c r="B126" s="44"/>
      <c r="C126" s="44"/>
      <c r="D126" s="13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8"/>
      <c r="B127" s="44"/>
      <c r="C127" s="44"/>
      <c r="D127" s="13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8"/>
      <c r="B128" s="44"/>
      <c r="C128" s="44"/>
      <c r="D128" s="13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8"/>
      <c r="B129" s="44"/>
      <c r="C129" s="44"/>
      <c r="D129" s="13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33"/>
      <c r="B130" s="44"/>
      <c r="C130" s="44"/>
      <c r="D130" s="13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33"/>
      <c r="B131" s="44"/>
      <c r="C131" s="44"/>
      <c r="D131" s="13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33"/>
      <c r="B132" s="44"/>
      <c r="C132" s="44"/>
      <c r="D132" s="13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33"/>
      <c r="B133" s="44"/>
      <c r="C133" s="44"/>
      <c r="D133" s="13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33"/>
      <c r="B134" s="44"/>
      <c r="C134" s="5"/>
      <c r="D134" s="135"/>
      <c r="E134" s="4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33"/>
      <c r="B135" s="44"/>
      <c r="C135" s="44"/>
      <c r="D135" s="13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33"/>
      <c r="B136" s="44"/>
      <c r="C136" s="44"/>
      <c r="D136" s="13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33"/>
      <c r="B137" s="44"/>
      <c r="C137" s="5"/>
      <c r="D137" s="135"/>
      <c r="E137" s="41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33"/>
      <c r="B138" s="44"/>
      <c r="C138" s="44"/>
      <c r="D138" s="13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33"/>
      <c r="B139" s="44"/>
      <c r="C139" s="44"/>
      <c r="D139" s="13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33"/>
      <c r="B140" s="44"/>
      <c r="C140" s="44"/>
      <c r="D140" s="13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33"/>
      <c r="B141" s="44"/>
      <c r="C141" s="44"/>
      <c r="D141" s="13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33"/>
      <c r="B142" s="44"/>
      <c r="C142" s="44"/>
      <c r="D142" s="13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33"/>
      <c r="B143" s="44"/>
      <c r="C143" s="44"/>
      <c r="D143" s="13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33"/>
      <c r="B144" s="44"/>
      <c r="C144" s="5"/>
      <c r="D144" s="13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33"/>
      <c r="B145" s="44"/>
      <c r="C145" s="44"/>
      <c r="D145" s="13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33"/>
      <c r="B146" s="44"/>
      <c r="C146" s="44"/>
      <c r="D146" s="13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33"/>
      <c r="B147" s="44"/>
      <c r="C147" s="5"/>
      <c r="D147" s="135"/>
      <c r="E147" s="41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33"/>
      <c r="B148" s="44"/>
      <c r="C148" s="44"/>
      <c r="D148" s="13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33"/>
      <c r="B149" s="44"/>
      <c r="C149" s="44"/>
      <c r="D149" s="13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33"/>
      <c r="B150" s="44"/>
      <c r="C150" s="44"/>
      <c r="D150" s="13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33"/>
      <c r="B151" s="44"/>
      <c r="C151" s="44"/>
      <c r="D151" s="13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33"/>
      <c r="B152" s="44"/>
      <c r="C152" s="44"/>
      <c r="D152" s="13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33"/>
      <c r="B153" s="44"/>
      <c r="C153" s="44"/>
      <c r="D153" s="13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33"/>
      <c r="B154" s="44"/>
      <c r="C154" s="44"/>
      <c r="D154" s="13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33"/>
      <c r="B155" s="44"/>
      <c r="C155" s="44"/>
      <c r="D155" s="13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13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13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4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4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4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4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4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4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4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4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4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4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4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4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4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4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4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4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4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4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4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4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4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4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4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4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4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4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4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4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4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4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4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4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4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4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4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4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4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4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4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4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4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4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4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4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4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4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4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4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4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4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4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4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4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4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4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4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4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4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4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4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4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4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4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4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4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4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4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4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4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4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4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4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4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4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4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4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4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4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4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4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4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4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4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4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4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4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4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4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4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4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4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4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4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4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4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4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4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4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4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4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4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4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4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4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4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4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4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4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4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4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4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4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4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4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4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4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4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4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4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4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4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4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4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4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4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4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4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4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4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4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4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4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4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4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4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4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4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4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4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4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4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4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4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4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4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4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4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4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4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4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4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4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4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4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4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4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4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4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4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4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4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4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4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4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4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4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4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4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4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4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4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4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4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4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4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4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4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4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4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4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4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4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4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4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4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4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4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4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4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4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4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4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4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4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4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4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4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4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4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4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4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4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4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4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4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4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4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4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4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4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4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4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4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4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4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4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4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4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4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4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4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4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4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4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4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4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4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4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4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4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4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4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4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4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4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4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4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4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4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4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4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4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4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4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4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4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4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4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4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4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4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4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4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4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4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4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4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4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4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4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4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4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4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4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4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4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4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4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4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4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4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4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4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4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4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4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4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4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4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4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4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4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4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4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4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4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4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4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4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4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4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4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4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4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4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4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4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4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4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4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4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4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4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4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4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4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4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4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4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4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4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4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4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4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4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4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4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4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4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4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4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4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4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4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4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4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4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4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4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4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4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4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4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4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4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4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4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4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4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4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4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4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4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4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4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4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4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4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4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4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4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4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4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4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4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4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4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4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4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4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4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4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4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4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4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4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4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4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4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4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4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4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4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4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4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4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4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4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4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4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4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4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4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4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4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4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4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4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4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4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4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4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4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4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4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4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4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4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4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4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4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4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4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4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4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4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4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4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4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4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4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4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4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4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4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4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4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4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4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4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4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4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4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4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4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4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4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4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4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4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4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4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4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4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4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4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4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4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4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4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4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4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4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4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4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4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4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4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4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4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4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4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4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4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4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4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4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4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4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4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4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4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4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4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4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4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4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4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4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4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4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4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4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4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4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4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4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4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4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4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4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4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4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4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4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4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4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4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4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4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4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4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4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4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4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4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4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4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4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4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4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4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4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4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4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4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4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4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4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4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4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4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4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4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4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4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4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4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4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4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4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4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4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4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4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4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4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4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4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4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4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4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4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4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4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4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4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4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4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4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4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4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4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4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4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4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4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4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4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4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4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4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4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4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4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4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4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4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4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4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4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4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4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4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4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4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4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4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4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4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4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4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4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4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4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4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4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4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4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4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4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4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4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4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4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4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4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4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4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4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4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4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4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4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4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4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4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4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4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4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4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4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4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4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4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4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4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4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4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4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4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4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4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4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4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4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4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4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4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4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4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4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4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4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4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4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4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4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4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4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4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4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4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4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4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4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4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4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4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4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4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4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4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4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4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4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4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4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4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4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4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4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4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4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4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4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4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4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4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4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4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4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4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4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4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4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4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4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4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4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4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4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4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4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4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4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4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4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4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4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4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4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4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4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4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4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4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4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4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4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4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4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4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4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4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4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4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4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4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4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4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4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4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4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4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4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4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4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4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4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4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4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4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4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4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4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4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4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4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4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4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4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4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4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4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4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4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4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4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4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4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4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4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4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4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4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4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4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4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4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4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4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4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4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4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4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4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4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4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4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4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4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4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4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4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4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4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4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4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4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4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4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4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4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4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4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4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4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4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4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4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4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4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4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4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4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4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4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4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4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4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4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4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4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4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4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4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4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4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4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4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4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4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4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4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4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4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4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4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4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4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4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4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4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4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4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4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4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4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4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4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4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4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4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4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4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4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4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4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4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4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4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4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4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4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4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4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4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4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4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4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4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4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4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4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4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4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4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4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4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4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4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4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42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42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4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42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42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42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42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42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</sheetData>
  <mergeCells count="37">
    <mergeCell ref="G18:H18"/>
    <mergeCell ref="G19:H19"/>
    <mergeCell ref="F24:J24"/>
    <mergeCell ref="A2:A9"/>
    <mergeCell ref="F2:F3"/>
    <mergeCell ref="F8:F9"/>
    <mergeCell ref="G13:H13"/>
    <mergeCell ref="G14:H14"/>
    <mergeCell ref="G15:H15"/>
    <mergeCell ref="G16:H16"/>
    <mergeCell ref="A10:A16"/>
    <mergeCell ref="A17:A19"/>
    <mergeCell ref="A20:A23"/>
    <mergeCell ref="A24:A27"/>
    <mergeCell ref="A28:A32"/>
    <mergeCell ref="A33:A35"/>
    <mergeCell ref="A36:A40"/>
    <mergeCell ref="A41:A44"/>
    <mergeCell ref="A45:A49"/>
    <mergeCell ref="A50:A51"/>
    <mergeCell ref="A52:A56"/>
    <mergeCell ref="A57:A60"/>
    <mergeCell ref="A61:A63"/>
    <mergeCell ref="A64:A67"/>
    <mergeCell ref="A93:A94"/>
    <mergeCell ref="A95:A97"/>
    <mergeCell ref="A98:A100"/>
    <mergeCell ref="A101:A105"/>
    <mergeCell ref="A106:A109"/>
    <mergeCell ref="A111:A113"/>
    <mergeCell ref="A68:A72"/>
    <mergeCell ref="A73:A78"/>
    <mergeCell ref="A79:A80"/>
    <mergeCell ref="A81:A84"/>
    <mergeCell ref="A85:A86"/>
    <mergeCell ref="A87:A89"/>
    <mergeCell ref="A90:A9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4.38"/>
    <col customWidth="1" min="3" max="3" width="15.25"/>
    <col customWidth="1" min="4" max="4" width="20.25"/>
    <col customWidth="1" min="5" max="5" width="19.13"/>
    <col customWidth="1" min="6" max="6" width="22.25"/>
    <col customWidth="1" min="7" max="7" width="36.0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8">
        <v>45929.0</v>
      </c>
      <c r="B2" s="41" t="s">
        <v>549</v>
      </c>
      <c r="C2" s="41">
        <v>15000.0</v>
      </c>
      <c r="D2" s="99" t="s">
        <v>467</v>
      </c>
      <c r="E2" s="5"/>
      <c r="F2" s="159">
        <v>45929.0</v>
      </c>
      <c r="G2" s="160" t="s">
        <v>550</v>
      </c>
      <c r="H2" s="161">
        <v>149.0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41" t="s">
        <v>551</v>
      </c>
      <c r="C3" s="41">
        <v>1500.0</v>
      </c>
      <c r="D3" s="99" t="s">
        <v>190</v>
      </c>
      <c r="E3" s="5"/>
      <c r="F3" s="162"/>
      <c r="G3" s="41" t="s">
        <v>552</v>
      </c>
      <c r="H3" s="163">
        <v>20000.0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1" t="s">
        <v>553</v>
      </c>
      <c r="C4" s="41">
        <v>2000.0</v>
      </c>
      <c r="D4" s="99" t="s">
        <v>34</v>
      </c>
      <c r="E4" s="5"/>
      <c r="F4" s="164">
        <v>45935.0</v>
      </c>
      <c r="G4" s="41" t="s">
        <v>199</v>
      </c>
      <c r="H4" s="163">
        <v>2000.0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8">
        <v>45930.0</v>
      </c>
      <c r="B5" s="41" t="s">
        <v>554</v>
      </c>
      <c r="C5" s="41">
        <v>247.0</v>
      </c>
      <c r="D5" s="99" t="s">
        <v>40</v>
      </c>
      <c r="E5" s="5"/>
      <c r="F5" s="164">
        <v>45941.0</v>
      </c>
      <c r="G5" s="41" t="s">
        <v>48</v>
      </c>
      <c r="H5" s="163">
        <v>15000.0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41" t="s">
        <v>555</v>
      </c>
      <c r="C6" s="41">
        <v>93.0</v>
      </c>
      <c r="D6" s="99" t="s">
        <v>40</v>
      </c>
      <c r="E6" s="5"/>
      <c r="F6" s="164">
        <v>45942.0</v>
      </c>
      <c r="G6" s="41" t="s">
        <v>20</v>
      </c>
      <c r="H6" s="163">
        <v>2000.0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41" t="s">
        <v>152</v>
      </c>
      <c r="C7" s="41">
        <v>26.0</v>
      </c>
      <c r="D7" s="99" t="s">
        <v>40</v>
      </c>
      <c r="E7" s="5"/>
      <c r="F7" s="164">
        <v>45945.0</v>
      </c>
      <c r="G7" s="41" t="s">
        <v>20</v>
      </c>
      <c r="H7" s="163">
        <v>1000.0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41" t="s">
        <v>93</v>
      </c>
      <c r="C8" s="41">
        <v>82.0</v>
      </c>
      <c r="D8" s="99" t="s">
        <v>40</v>
      </c>
      <c r="E8" s="5"/>
      <c r="F8" s="162"/>
      <c r="G8" s="41" t="s">
        <v>556</v>
      </c>
      <c r="H8" s="163">
        <v>5480.0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8">
        <v>45931.0</v>
      </c>
      <c r="B9" s="41" t="s">
        <v>152</v>
      </c>
      <c r="C9" s="41">
        <v>26.0</v>
      </c>
      <c r="D9" s="99" t="s">
        <v>40</v>
      </c>
      <c r="E9" s="5"/>
      <c r="F9" s="164">
        <v>45948.0</v>
      </c>
      <c r="G9" s="41" t="s">
        <v>20</v>
      </c>
      <c r="H9" s="163">
        <v>3000.0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B10" s="41" t="s">
        <v>557</v>
      </c>
      <c r="C10" s="41">
        <v>14.0</v>
      </c>
      <c r="D10" s="99" t="s">
        <v>40</v>
      </c>
      <c r="E10" s="5"/>
      <c r="F10" s="164">
        <v>45951.0</v>
      </c>
      <c r="G10" s="41" t="s">
        <v>20</v>
      </c>
      <c r="H10" s="163">
        <v>700.0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8">
        <v>45932.0</v>
      </c>
      <c r="B11" s="41" t="s">
        <v>152</v>
      </c>
      <c r="C11" s="41">
        <v>14.0</v>
      </c>
      <c r="D11" s="99" t="s">
        <v>40</v>
      </c>
      <c r="E11" s="5"/>
      <c r="F11" s="164">
        <v>45957.0</v>
      </c>
      <c r="G11" s="41" t="s">
        <v>412</v>
      </c>
      <c r="H11" s="163">
        <v>2000.0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B12" s="41" t="s">
        <v>80</v>
      </c>
      <c r="C12" s="41">
        <v>70.0</v>
      </c>
      <c r="D12" s="99" t="s">
        <v>40</v>
      </c>
      <c r="E12" s="5"/>
      <c r="F12" s="165"/>
      <c r="G12" s="166"/>
      <c r="H12" s="16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41" t="s">
        <v>103</v>
      </c>
      <c r="C13" s="41">
        <v>365.0</v>
      </c>
      <c r="D13" s="99" t="s">
        <v>48</v>
      </c>
      <c r="E13" s="5"/>
      <c r="F13" s="115" t="s">
        <v>49</v>
      </c>
      <c r="G13" s="116">
        <f>SUM(H2:H12)</f>
        <v>51329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8">
        <v>45933.0</v>
      </c>
      <c r="B14" s="41" t="s">
        <v>430</v>
      </c>
      <c r="C14" s="41">
        <v>279.0</v>
      </c>
      <c r="D14" s="99" t="s">
        <v>40</v>
      </c>
      <c r="E14" s="5"/>
      <c r="F14" s="117" t="s">
        <v>51</v>
      </c>
      <c r="G14" s="118">
        <f>SUMIF(D2:D208, "&lt;&gt;Credit", C2:C516) + G15</f>
        <v>49665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41" t="s">
        <v>558</v>
      </c>
      <c r="C15" s="41">
        <v>487.0</v>
      </c>
      <c r="D15" s="99" t="s">
        <v>40</v>
      </c>
      <c r="E15" s="5"/>
      <c r="F15" s="117" t="s">
        <v>53</v>
      </c>
      <c r="G15" s="119">
        <f>7</f>
        <v>7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B16" s="41" t="s">
        <v>120</v>
      </c>
      <c r="C16" s="41">
        <v>49.0</v>
      </c>
      <c r="D16" s="99" t="s">
        <v>40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B17" s="41" t="s">
        <v>93</v>
      </c>
      <c r="C17" s="41">
        <v>97.0</v>
      </c>
      <c r="D17" s="99" t="s">
        <v>40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8">
        <v>45934.0</v>
      </c>
      <c r="B18" s="41" t="s">
        <v>559</v>
      </c>
      <c r="C18" s="41">
        <v>463.0</v>
      </c>
      <c r="D18" s="99" t="s">
        <v>48</v>
      </c>
      <c r="E18" s="5"/>
      <c r="F18" s="117" t="s">
        <v>500</v>
      </c>
      <c r="G18" s="121">
        <f>G13-G14-J33</f>
        <v>1664</v>
      </c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8">
        <v>45935.0</v>
      </c>
      <c r="B19" s="41" t="s">
        <v>167</v>
      </c>
      <c r="C19" s="41">
        <v>10.0</v>
      </c>
      <c r="D19" s="99" t="s">
        <v>40</v>
      </c>
      <c r="E19" s="5"/>
      <c r="F19" s="117" t="s">
        <v>501</v>
      </c>
      <c r="G19" s="122">
        <f>G13-G14</f>
        <v>1664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B20" s="41" t="s">
        <v>560</v>
      </c>
      <c r="C20" s="41">
        <v>790.0</v>
      </c>
      <c r="D20" s="99" t="s">
        <v>48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B21" s="41" t="s">
        <v>148</v>
      </c>
      <c r="C21" s="41">
        <v>74.0</v>
      </c>
      <c r="D21" s="99" t="s">
        <v>48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8">
        <v>45936.0</v>
      </c>
      <c r="B22" s="41" t="s">
        <v>86</v>
      </c>
      <c r="C22" s="44">
        <f>2077-1837</f>
        <v>240</v>
      </c>
      <c r="D22" s="99" t="s">
        <v>40</v>
      </c>
      <c r="E22" s="5"/>
      <c r="F22" s="124" t="s">
        <v>40</v>
      </c>
      <c r="G22" s="19">
        <v>5000.0</v>
      </c>
      <c r="H22" s="37">
        <f>SUMIF(D2:D131, "=Living expense",C2:C149)+G15</f>
        <v>7272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41" t="s">
        <v>148</v>
      </c>
      <c r="C23" s="41">
        <v>14.0</v>
      </c>
      <c r="D23" s="99" t="s">
        <v>40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B24" s="41" t="s">
        <v>91</v>
      </c>
      <c r="C24" s="41">
        <v>52.0</v>
      </c>
      <c r="D24" s="99" t="s">
        <v>40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41" t="s">
        <v>432</v>
      </c>
      <c r="C25" s="41">
        <v>35.0</v>
      </c>
      <c r="D25" s="99" t="s">
        <v>40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B26" s="41" t="s">
        <v>41</v>
      </c>
      <c r="C26" s="41">
        <v>1000.0</v>
      </c>
      <c r="D26" s="99" t="s">
        <v>101</v>
      </c>
      <c r="E26" s="5"/>
      <c r="F26" s="149" t="s">
        <v>12</v>
      </c>
      <c r="G26" s="150">
        <v>5000.0</v>
      </c>
      <c r="H26" s="151">
        <f>SUMIF($D$2:$D$507, "=Gonsa",$C$2:$C$507)</f>
        <v>5000</v>
      </c>
      <c r="I26" s="117" t="b">
        <v>1</v>
      </c>
      <c r="J26" s="37">
        <f t="shared" ref="J26:J32" si="1">IF(I26=TRUE,0,MAX(G26-H26,0))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8">
        <v>45937.0</v>
      </c>
      <c r="B27" s="41" t="s">
        <v>152</v>
      </c>
      <c r="C27" s="41">
        <v>14.0</v>
      </c>
      <c r="D27" s="99" t="s">
        <v>40</v>
      </c>
      <c r="E27" s="5"/>
      <c r="F27" s="149" t="s">
        <v>475</v>
      </c>
      <c r="G27" s="150">
        <v>5800.0</v>
      </c>
      <c r="H27" s="151">
        <f>SUMIF($D$2:$D$507, "=Rent",$C$2:$C$507)</f>
        <v>5800</v>
      </c>
      <c r="I27" s="117" t="b">
        <v>1</v>
      </c>
      <c r="J27" s="37">
        <f t="shared" si="1"/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8">
        <v>45938.0</v>
      </c>
      <c r="B28" s="41" t="s">
        <v>152</v>
      </c>
      <c r="C28" s="41">
        <v>14.0</v>
      </c>
      <c r="D28" s="99" t="s">
        <v>40</v>
      </c>
      <c r="E28" s="5"/>
      <c r="F28" s="152" t="s">
        <v>561</v>
      </c>
      <c r="G28" s="150">
        <v>300.0</v>
      </c>
      <c r="H28" s="151">
        <f>SUMIF($D$2:$D$507, "=Rocket fund",$C$2:$C$507)</f>
        <v>300</v>
      </c>
      <c r="I28" s="19" t="b">
        <v>1</v>
      </c>
      <c r="J28" s="151">
        <f t="shared" si="1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B29" s="41" t="s">
        <v>203</v>
      </c>
      <c r="C29" s="44">
        <f>164-25-25-57</f>
        <v>57</v>
      </c>
      <c r="D29" s="99" t="s">
        <v>40</v>
      </c>
      <c r="E29" s="41"/>
      <c r="F29" s="152" t="s">
        <v>321</v>
      </c>
      <c r="G29" s="150">
        <v>5000.0</v>
      </c>
      <c r="H29" s="151">
        <f>SUMIF($D$2:$D$507, "=Donate",$C$2:$C$507)</f>
        <v>5000</v>
      </c>
      <c r="I29" s="19" t="b">
        <v>1</v>
      </c>
      <c r="J29" s="151">
        <f t="shared" si="1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8">
        <v>45939.0</v>
      </c>
      <c r="B30" s="41" t="s">
        <v>152</v>
      </c>
      <c r="C30" s="41">
        <v>40.0</v>
      </c>
      <c r="D30" s="99" t="s">
        <v>40</v>
      </c>
      <c r="E30" s="5"/>
      <c r="F30" s="152" t="s">
        <v>562</v>
      </c>
      <c r="G30" s="150">
        <v>1000.0</v>
      </c>
      <c r="H30" s="151">
        <f>SUMIF($D$2:$D$507, "=Help friend",$C$2:$C$507)</f>
        <v>1000</v>
      </c>
      <c r="I30" s="19" t="b">
        <v>1</v>
      </c>
      <c r="J30" s="151">
        <f t="shared" si="1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41" t="s">
        <v>91</v>
      </c>
      <c r="C31" s="41">
        <v>68.0</v>
      </c>
      <c r="D31" s="99" t="s">
        <v>40</v>
      </c>
      <c r="E31" s="5"/>
      <c r="F31" s="152" t="s">
        <v>101</v>
      </c>
      <c r="G31" s="150">
        <v>4000.0</v>
      </c>
      <c r="H31" s="151">
        <f>SUMIF($D$2:$D$507, "=Parent",$C$2:$C$507)</f>
        <v>5093</v>
      </c>
      <c r="I31" s="19" t="b">
        <v>1</v>
      </c>
      <c r="J31" s="151">
        <f t="shared" si="1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8">
        <v>45940.0</v>
      </c>
      <c r="B32" s="41" t="s">
        <v>37</v>
      </c>
      <c r="C32" s="41">
        <v>50.0</v>
      </c>
      <c r="D32" s="99" t="s">
        <v>40</v>
      </c>
      <c r="E32" s="5"/>
      <c r="F32" s="152" t="s">
        <v>563</v>
      </c>
      <c r="G32" s="150">
        <v>1700.0</v>
      </c>
      <c r="H32" s="151">
        <f>SUMIF($D$2:$D$507, "=Credit debt T10",$C$2:$C$507)</f>
        <v>1700</v>
      </c>
      <c r="I32" s="19" t="b">
        <v>1</v>
      </c>
      <c r="J32" s="151">
        <f t="shared" si="1"/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B33" s="41" t="s">
        <v>152</v>
      </c>
      <c r="C33" s="41">
        <v>17.0</v>
      </c>
      <c r="D33" s="99" t="s">
        <v>40</v>
      </c>
      <c r="E33" s="5"/>
      <c r="F33" s="153" t="s">
        <v>73</v>
      </c>
      <c r="G33" s="154">
        <f>SUM(G26:G32)</f>
        <v>22800</v>
      </c>
      <c r="H33" s="155">
        <f>SUM(H26:H31)</f>
        <v>22193</v>
      </c>
      <c r="I33" s="158"/>
      <c r="J33" s="155">
        <f>SUM(J26:J32)</f>
        <v>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B34" s="41" t="s">
        <v>50</v>
      </c>
      <c r="C34" s="41">
        <v>35.0</v>
      </c>
      <c r="D34" s="99" t="s">
        <v>40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41" t="s">
        <v>148</v>
      </c>
      <c r="C35" s="41">
        <v>57.0</v>
      </c>
      <c r="D35" s="99" t="s">
        <v>40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8">
        <v>45941.0</v>
      </c>
      <c r="B36" s="41" t="s">
        <v>113</v>
      </c>
      <c r="C36" s="41">
        <f>60+72</f>
        <v>132</v>
      </c>
      <c r="D36" s="99" t="s">
        <v>40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B37" s="41" t="s">
        <v>564</v>
      </c>
      <c r="C37" s="44">
        <f>210+978</f>
        <v>1188</v>
      </c>
      <c r="D37" s="99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B38" s="41" t="s">
        <v>565</v>
      </c>
      <c r="C38" s="44">
        <f>39+120</f>
        <v>159</v>
      </c>
      <c r="D38" s="99" t="s">
        <v>40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B39" s="41" t="s">
        <v>512</v>
      </c>
      <c r="C39" s="41">
        <v>790.0</v>
      </c>
      <c r="D39" s="99" t="s">
        <v>101</v>
      </c>
      <c r="E39" s="4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98">
        <v>45942.0</v>
      </c>
      <c r="B40" s="41" t="s">
        <v>566</v>
      </c>
      <c r="C40" s="41">
        <v>182.0</v>
      </c>
      <c r="D40" s="99" t="s">
        <v>40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B41" s="41" t="s">
        <v>318</v>
      </c>
      <c r="C41" s="41">
        <v>25.0</v>
      </c>
      <c r="D41" s="99" t="s">
        <v>40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B42" s="41" t="s">
        <v>167</v>
      </c>
      <c r="C42" s="41">
        <v>10.0</v>
      </c>
      <c r="D42" s="99" t="s">
        <v>40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41" t="s">
        <v>351</v>
      </c>
      <c r="C43" s="41">
        <v>1000.0</v>
      </c>
      <c r="D43" s="99" t="s">
        <v>562</v>
      </c>
      <c r="E43" s="4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B44" s="41" t="s">
        <v>470</v>
      </c>
      <c r="C44" s="41">
        <v>490.0</v>
      </c>
      <c r="D44" s="99" t="s">
        <v>101</v>
      </c>
      <c r="E44" s="4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B45" s="41" t="s">
        <v>42</v>
      </c>
      <c r="C45" s="41">
        <v>1500.0</v>
      </c>
      <c r="D45" s="99" t="s">
        <v>101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98">
        <v>45943.0</v>
      </c>
      <c r="B46" s="41" t="s">
        <v>489</v>
      </c>
      <c r="C46" s="41">
        <v>300.0</v>
      </c>
      <c r="D46" s="99" t="s">
        <v>561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B47" s="41" t="s">
        <v>258</v>
      </c>
      <c r="C47" s="44">
        <f>100-34</f>
        <v>66</v>
      </c>
      <c r="D47" s="99" t="s">
        <v>40</v>
      </c>
      <c r="E47" s="4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B48" s="41" t="s">
        <v>93</v>
      </c>
      <c r="C48" s="41">
        <v>118.0</v>
      </c>
      <c r="D48" s="99" t="s">
        <v>40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8">
        <v>45944.0</v>
      </c>
      <c r="B49" s="41" t="s">
        <v>567</v>
      </c>
      <c r="C49" s="41">
        <v>1700.0</v>
      </c>
      <c r="D49" s="99" t="s">
        <v>563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B50" s="41" t="s">
        <v>152</v>
      </c>
      <c r="C50" s="41">
        <v>14.0</v>
      </c>
      <c r="D50" s="99" t="s">
        <v>40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B51" s="41" t="s">
        <v>89</v>
      </c>
      <c r="C51" s="41">
        <v>20.0</v>
      </c>
      <c r="D51" s="99" t="s">
        <v>40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B52" s="41" t="s">
        <v>568</v>
      </c>
      <c r="C52" s="41">
        <v>54.0</v>
      </c>
      <c r="D52" s="99" t="s">
        <v>40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8">
        <v>45945.0</v>
      </c>
      <c r="B53" s="41" t="s">
        <v>152</v>
      </c>
      <c r="C53" s="41">
        <v>14.0</v>
      </c>
      <c r="D53" s="99" t="s">
        <v>40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B54" s="41" t="s">
        <v>12</v>
      </c>
      <c r="C54" s="41">
        <v>5000.0</v>
      </c>
      <c r="D54" s="99" t="s">
        <v>12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41" t="s">
        <v>569</v>
      </c>
      <c r="C55" s="41">
        <v>5800.0</v>
      </c>
      <c r="D55" s="99" t="s">
        <v>475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B56" s="41" t="s">
        <v>570</v>
      </c>
      <c r="C56" s="41">
        <v>79.0</v>
      </c>
      <c r="D56" s="99" t="s">
        <v>40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B57" s="41" t="s">
        <v>93</v>
      </c>
      <c r="C57" s="44">
        <f>110+59</f>
        <v>169</v>
      </c>
      <c r="D57" s="99" t="s">
        <v>40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98">
        <v>45946.0</v>
      </c>
      <c r="B58" s="41" t="s">
        <v>152</v>
      </c>
      <c r="C58" s="41">
        <v>14.0</v>
      </c>
      <c r="D58" s="99" t="s">
        <v>40</v>
      </c>
      <c r="E58" s="4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B59" s="41" t="s">
        <v>93</v>
      </c>
      <c r="C59" s="44">
        <f>140-35</f>
        <v>105</v>
      </c>
      <c r="D59" s="99" t="s">
        <v>40</v>
      </c>
      <c r="E59" s="4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98">
        <v>45947.0</v>
      </c>
      <c r="B60" s="41" t="s">
        <v>152</v>
      </c>
      <c r="C60" s="41">
        <v>14.0</v>
      </c>
      <c r="D60" s="99" t="s">
        <v>40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B61" s="41" t="s">
        <v>571</v>
      </c>
      <c r="C61" s="41">
        <f>90-30-30</f>
        <v>30</v>
      </c>
      <c r="D61" s="99" t="s">
        <v>40</v>
      </c>
      <c r="E61" s="4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B62" s="41" t="s">
        <v>148</v>
      </c>
      <c r="C62" s="41">
        <v>34.0</v>
      </c>
      <c r="D62" s="99" t="s">
        <v>40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98">
        <v>45948.0</v>
      </c>
      <c r="B63" s="41" t="s">
        <v>109</v>
      </c>
      <c r="C63" s="41">
        <v>35.0</v>
      </c>
      <c r="D63" s="99" t="s">
        <v>40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B64" s="41" t="s">
        <v>498</v>
      </c>
      <c r="C64" s="41">
        <v>790.0</v>
      </c>
      <c r="D64" s="99" t="s">
        <v>101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B65" s="41" t="s">
        <v>572</v>
      </c>
      <c r="C65" s="41">
        <v>581.0</v>
      </c>
      <c r="D65" s="99" t="s">
        <v>40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B66" s="41" t="s">
        <v>86</v>
      </c>
      <c r="C66" s="44">
        <f>120+2000+174-1771</f>
        <v>523</v>
      </c>
      <c r="D66" s="99" t="s">
        <v>101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B67" s="41" t="s">
        <v>573</v>
      </c>
      <c r="C67" s="44">
        <f>30+20</f>
        <v>50</v>
      </c>
      <c r="D67" s="99" t="s">
        <v>40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B68" s="41" t="s">
        <v>112</v>
      </c>
      <c r="C68" s="41">
        <v>60.0</v>
      </c>
      <c r="D68" s="99" t="s">
        <v>40</v>
      </c>
      <c r="E68" s="4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B69" s="41" t="s">
        <v>37</v>
      </c>
      <c r="C69" s="41">
        <v>50.0</v>
      </c>
      <c r="D69" s="99" t="s">
        <v>40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98">
        <v>45949.0</v>
      </c>
      <c r="B70" s="41" t="s">
        <v>270</v>
      </c>
      <c r="C70" s="41">
        <v>381.0</v>
      </c>
      <c r="D70" s="99" t="s">
        <v>40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41" t="s">
        <v>148</v>
      </c>
      <c r="C71" s="41">
        <v>76.0</v>
      </c>
      <c r="D71" s="99" t="s">
        <v>40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98">
        <v>45950.0</v>
      </c>
      <c r="B72" s="41" t="s">
        <v>56</v>
      </c>
      <c r="C72" s="41">
        <v>14.0</v>
      </c>
      <c r="D72" s="99" t="s">
        <v>40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B73" s="41" t="s">
        <v>93</v>
      </c>
      <c r="C73" s="41">
        <v>136.0</v>
      </c>
      <c r="D73" s="99" t="s">
        <v>40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41" t="s">
        <v>321</v>
      </c>
      <c r="C74" s="41">
        <v>2500.0</v>
      </c>
      <c r="D74" s="99" t="s">
        <v>321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98">
        <v>45951.0</v>
      </c>
      <c r="B75" s="41" t="s">
        <v>152</v>
      </c>
      <c r="C75" s="41">
        <v>42.0</v>
      </c>
      <c r="D75" s="99" t="s">
        <v>40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41" t="s">
        <v>93</v>
      </c>
      <c r="C76" s="41">
        <f>30+53</f>
        <v>83</v>
      </c>
      <c r="D76" s="99" t="s">
        <v>40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98">
        <v>45952.0</v>
      </c>
      <c r="B77" s="41" t="s">
        <v>152</v>
      </c>
      <c r="C77" s="41">
        <v>11.0</v>
      </c>
      <c r="D77" s="99" t="s">
        <v>40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B78" s="41" t="s">
        <v>91</v>
      </c>
      <c r="C78" s="41">
        <v>88.0</v>
      </c>
      <c r="D78" s="99" t="s">
        <v>40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B79" s="41" t="s">
        <v>93</v>
      </c>
      <c r="C79" s="41">
        <v>70.0</v>
      </c>
      <c r="D79" s="99" t="s">
        <v>40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98">
        <v>45953.0</v>
      </c>
      <c r="B80" s="41" t="s">
        <v>152</v>
      </c>
      <c r="C80" s="41">
        <v>11.0</v>
      </c>
      <c r="D80" s="99" t="s">
        <v>40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B81" s="41" t="s">
        <v>91</v>
      </c>
      <c r="C81" s="44">
        <f>131-40</f>
        <v>91</v>
      </c>
      <c r="D81" s="99" t="s">
        <v>40</v>
      </c>
      <c r="E81" s="4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98">
        <v>45954.0</v>
      </c>
      <c r="B82" s="41" t="s">
        <v>50</v>
      </c>
      <c r="C82" s="41">
        <v>30.0</v>
      </c>
      <c r="D82" s="99" t="s">
        <v>40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B83" s="41" t="s">
        <v>156</v>
      </c>
      <c r="C83" s="41">
        <v>13.0</v>
      </c>
      <c r="D83" s="99" t="s">
        <v>40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41" t="s">
        <v>93</v>
      </c>
      <c r="C84" s="41">
        <v>100.0</v>
      </c>
      <c r="D84" s="99" t="s">
        <v>40</v>
      </c>
      <c r="E84" s="4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98">
        <v>45955.0</v>
      </c>
      <c r="B85" s="41" t="s">
        <v>93</v>
      </c>
      <c r="C85" s="44">
        <f>73+50</f>
        <v>123</v>
      </c>
      <c r="D85" s="99" t="s">
        <v>40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98">
        <v>45956.0</v>
      </c>
      <c r="B86" s="41" t="s">
        <v>518</v>
      </c>
      <c r="C86" s="41">
        <v>168.0</v>
      </c>
      <c r="D86" s="99" t="s">
        <v>40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B87" s="41" t="s">
        <v>37</v>
      </c>
      <c r="C87" s="41">
        <v>50.0</v>
      </c>
      <c r="D87" s="99" t="s">
        <v>40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98">
        <v>45957.0</v>
      </c>
      <c r="B88" s="41" t="s">
        <v>148</v>
      </c>
      <c r="C88" s="41">
        <v>58.0</v>
      </c>
      <c r="D88" s="99" t="s">
        <v>40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B89" s="41" t="s">
        <v>321</v>
      </c>
      <c r="C89" s="41">
        <v>2500.0</v>
      </c>
      <c r="D89" s="99" t="s">
        <v>321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98">
        <v>45958.0</v>
      </c>
      <c r="B90" s="41" t="s">
        <v>56</v>
      </c>
      <c r="C90" s="93">
        <v>14.0</v>
      </c>
      <c r="D90" s="99" t="s">
        <v>40</v>
      </c>
      <c r="E90" s="4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B91" s="41" t="s">
        <v>91</v>
      </c>
      <c r="C91" s="41">
        <f>130-60</f>
        <v>70</v>
      </c>
      <c r="D91" s="99" t="s">
        <v>40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41" t="s">
        <v>127</v>
      </c>
      <c r="C92" s="41">
        <v>35.0</v>
      </c>
      <c r="D92" s="99" t="s">
        <v>40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8">
        <v>45959.0</v>
      </c>
      <c r="B93" s="41" t="s">
        <v>91</v>
      </c>
      <c r="C93" s="41">
        <v>60.0</v>
      </c>
      <c r="D93" s="99" t="s">
        <v>40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B94" s="41" t="s">
        <v>50</v>
      </c>
      <c r="C94" s="41">
        <v>40.0</v>
      </c>
      <c r="D94" s="99" t="s">
        <v>40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B95" s="41" t="s">
        <v>152</v>
      </c>
      <c r="C95" s="41">
        <v>14.0</v>
      </c>
      <c r="D95" s="99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B96" s="41" t="s">
        <v>148</v>
      </c>
      <c r="C96" s="41">
        <v>97.0</v>
      </c>
      <c r="D96" s="99" t="s">
        <v>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33"/>
      <c r="B97" s="44"/>
      <c r="C97" s="44"/>
      <c r="D97" s="99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33"/>
      <c r="B98" s="44"/>
      <c r="C98" s="44"/>
      <c r="D98" s="99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33"/>
      <c r="B99" s="44"/>
      <c r="C99" s="44"/>
      <c r="D99" s="99"/>
      <c r="E99" s="4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33"/>
      <c r="B100" s="44"/>
      <c r="C100" s="44"/>
      <c r="D100" s="99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33"/>
      <c r="B101" s="44"/>
      <c r="C101" s="44"/>
      <c r="D101" s="99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33"/>
      <c r="B102" s="44"/>
      <c r="C102" s="5"/>
      <c r="D102" s="99"/>
      <c r="E102" s="4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33"/>
      <c r="B103" s="44"/>
      <c r="C103" s="44"/>
      <c r="D103" s="99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33"/>
      <c r="B104" s="44"/>
      <c r="C104" s="44"/>
      <c r="D104" s="99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33"/>
      <c r="B105" s="44"/>
      <c r="C105" s="44"/>
      <c r="D105" s="99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33"/>
      <c r="B106" s="44"/>
      <c r="C106" s="44"/>
      <c r="D106" s="99"/>
      <c r="E106" s="4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33"/>
      <c r="B107" s="44"/>
      <c r="C107" s="44"/>
      <c r="D107" s="99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33"/>
      <c r="B108" s="44"/>
      <c r="C108" s="44"/>
      <c r="D108" s="13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33"/>
      <c r="B109" s="44"/>
      <c r="C109" s="44"/>
      <c r="D109" s="13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33"/>
      <c r="B110" s="44"/>
      <c r="C110" s="44"/>
      <c r="D110" s="13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33"/>
      <c r="B111" s="44"/>
      <c r="C111" s="44"/>
      <c r="D111" s="13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33"/>
      <c r="B112" s="44"/>
      <c r="C112" s="44"/>
      <c r="D112" s="135"/>
      <c r="E112" s="4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33"/>
      <c r="B113" s="44"/>
      <c r="C113" s="44"/>
      <c r="D113" s="13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33"/>
      <c r="B114" s="44"/>
      <c r="C114" s="44"/>
      <c r="D114" s="13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33"/>
      <c r="B115" s="44"/>
      <c r="C115" s="44"/>
      <c r="D115" s="13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33"/>
      <c r="B116" s="44"/>
      <c r="C116" s="44"/>
      <c r="D116" s="13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33"/>
      <c r="B117" s="44"/>
      <c r="C117" s="44"/>
      <c r="D117" s="135"/>
      <c r="E117" s="4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33"/>
      <c r="B118" s="44"/>
      <c r="C118" s="44"/>
      <c r="D118" s="13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33"/>
      <c r="B119" s="44"/>
      <c r="C119" s="44"/>
      <c r="D119" s="13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33"/>
      <c r="B120" s="44"/>
      <c r="C120" s="44"/>
      <c r="D120" s="13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33"/>
      <c r="B121" s="44"/>
      <c r="C121" s="44"/>
      <c r="D121" s="13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33"/>
      <c r="B122" s="44"/>
      <c r="C122" s="44"/>
      <c r="D122" s="13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33"/>
      <c r="B123" s="44"/>
      <c r="C123" s="44"/>
      <c r="D123" s="13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33"/>
      <c r="B124" s="44"/>
      <c r="C124" s="44"/>
      <c r="D124" s="13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33"/>
      <c r="B125" s="44"/>
      <c r="C125" s="44"/>
      <c r="D125" s="13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33"/>
      <c r="B126" s="44"/>
      <c r="C126" s="44"/>
      <c r="D126" s="13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33"/>
      <c r="B127" s="44"/>
      <c r="C127" s="44"/>
      <c r="D127" s="13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33"/>
      <c r="B128" s="44"/>
      <c r="C128" s="44"/>
      <c r="D128" s="13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33"/>
      <c r="B129" s="44"/>
      <c r="C129" s="5"/>
      <c r="D129" s="135"/>
      <c r="E129" s="41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33"/>
      <c r="B130" s="44"/>
      <c r="C130" s="44"/>
      <c r="D130" s="13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33"/>
      <c r="B131" s="44"/>
      <c r="C131" s="44"/>
      <c r="D131" s="13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33"/>
      <c r="B132" s="44"/>
      <c r="C132" s="5"/>
      <c r="D132" s="135"/>
      <c r="E132" s="41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33"/>
      <c r="B133" s="44"/>
      <c r="C133" s="44"/>
      <c r="D133" s="13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33"/>
      <c r="B134" s="44"/>
      <c r="C134" s="44"/>
      <c r="D134" s="13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33"/>
      <c r="B135" s="44"/>
      <c r="C135" s="44"/>
      <c r="D135" s="13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33"/>
      <c r="B136" s="44"/>
      <c r="C136" s="44"/>
      <c r="D136" s="13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33"/>
      <c r="B137" s="44"/>
      <c r="C137" s="44"/>
      <c r="D137" s="13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33"/>
      <c r="B138" s="44"/>
      <c r="C138" s="44"/>
      <c r="D138" s="13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33"/>
      <c r="B139" s="44"/>
      <c r="C139" s="5"/>
      <c r="D139" s="13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33"/>
      <c r="B140" s="44"/>
      <c r="C140" s="44"/>
      <c r="D140" s="13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33"/>
      <c r="B141" s="44"/>
      <c r="C141" s="44"/>
      <c r="D141" s="13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33"/>
      <c r="B142" s="44"/>
      <c r="C142" s="5"/>
      <c r="D142" s="135"/>
      <c r="E142" s="41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33"/>
      <c r="B143" s="44"/>
      <c r="C143" s="44"/>
      <c r="D143" s="13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33"/>
      <c r="B144" s="44"/>
      <c r="C144" s="44"/>
      <c r="D144" s="13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33"/>
      <c r="B145" s="44"/>
      <c r="C145" s="44"/>
      <c r="D145" s="13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33"/>
      <c r="B146" s="44"/>
      <c r="C146" s="44"/>
      <c r="D146" s="13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33"/>
      <c r="B147" s="44"/>
      <c r="C147" s="44"/>
      <c r="D147" s="13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33"/>
      <c r="B148" s="44"/>
      <c r="C148" s="44"/>
      <c r="D148" s="13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33"/>
      <c r="B149" s="44"/>
      <c r="C149" s="44"/>
      <c r="D149" s="13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33"/>
      <c r="B150" s="44"/>
      <c r="C150" s="44"/>
      <c r="D150" s="13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13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13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4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4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4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4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4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4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4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4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4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4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4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4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4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4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4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4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4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4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4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4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4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4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4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4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4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4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4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4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4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4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4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4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4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4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4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4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4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4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4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4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4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4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4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4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4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4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4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4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4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4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4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4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4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4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4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4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4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4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4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4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4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4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4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4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4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4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4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4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4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4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4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4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4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4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4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4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4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4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4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4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4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4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4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4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4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4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4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4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4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4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4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4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4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4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4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4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4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4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4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4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4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4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4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4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4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4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4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4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4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4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4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4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4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4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4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4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4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4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4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4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4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4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4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4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4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4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4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4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4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4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4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4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4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4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4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4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4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4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4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4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4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4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4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4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4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4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4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4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4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4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4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4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4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4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4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4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4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4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4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4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4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4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4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4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4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4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4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4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4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4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4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4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4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4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4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4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4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4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4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4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4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4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4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4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4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4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4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4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4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4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4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4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4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4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4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4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4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4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4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4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4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4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4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4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4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4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4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4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4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4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4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4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4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4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4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4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4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4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4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4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4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4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4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4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4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4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4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4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4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4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4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4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4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4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4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4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4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4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4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4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4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4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4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4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4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4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4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4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4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4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4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4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4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4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4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4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4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4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4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4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4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4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4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4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4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4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4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4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4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4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4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4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4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4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4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4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4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4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4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4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4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4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4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4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4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4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4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4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4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4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4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4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4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4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4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4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4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4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4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4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4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4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4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4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4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4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4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4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4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4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4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4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4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4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4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4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4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4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4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4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4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4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4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4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4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4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4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4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4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4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4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4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4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4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4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4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4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4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4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4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4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4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4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4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4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4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4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4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4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4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4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4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4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4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4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4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4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4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4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4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4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4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4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4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4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4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4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4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4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4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4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4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4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4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4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4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4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4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4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4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4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4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4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4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4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4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4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4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4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4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4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4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4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4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4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4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4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4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4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4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4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4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4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4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4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4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4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4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4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4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4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4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4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4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4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4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4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4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4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4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4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4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4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4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4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4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4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4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4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4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4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4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4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4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4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4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4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4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4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4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4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4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4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4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4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4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4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4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4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4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4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4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4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4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4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4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4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4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4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4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4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4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4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4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4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4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4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4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4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4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4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4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4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4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4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4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4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4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4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4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4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4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4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4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4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4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4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4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4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4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4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4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4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4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4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4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4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4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4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4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4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4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4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4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4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4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4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4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4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4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4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4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4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4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4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4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4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4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4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4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4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4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4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4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4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4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4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4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4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4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4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4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4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4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4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4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4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4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4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4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4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4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4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4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4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4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4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4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4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4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4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4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4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4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4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4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4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4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4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4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4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4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4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4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4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4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4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4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4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4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4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4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4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4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4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4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4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4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4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4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4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4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4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4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4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4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4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4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4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4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4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4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4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4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4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4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4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4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4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4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4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4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4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4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4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4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4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4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4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4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4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4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4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4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4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4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4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4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4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4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4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4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4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4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4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4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4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4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4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4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4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4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4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4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4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4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4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4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4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4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4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4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4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4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4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4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4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4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4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4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4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4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4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4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4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4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4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4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4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4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4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4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4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4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4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4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4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4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4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4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4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4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4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4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4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4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4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4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4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4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4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4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4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4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4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4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4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4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4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4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4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4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4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4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4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4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4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4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4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4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4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4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4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4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4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4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4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4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4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4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4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4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4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4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4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4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4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4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4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4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4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4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4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4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4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4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4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4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4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4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4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4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4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4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4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4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4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4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4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4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4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4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4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4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4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4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4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4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4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4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4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4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4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4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4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4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4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4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4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4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4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4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4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4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4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4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4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4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4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4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4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4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4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4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4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4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4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4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4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4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4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4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4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4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4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4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4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4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4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4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4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4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4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4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4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4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4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4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4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4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4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4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4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4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4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4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4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4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4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4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4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4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4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4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4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4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4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4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4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4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4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4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4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4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4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4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4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4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4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4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4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4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4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4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4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4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4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4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4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4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4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4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4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4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4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4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4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4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42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42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4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37">
    <mergeCell ref="G13:H13"/>
    <mergeCell ref="G14:H14"/>
    <mergeCell ref="G15:H15"/>
    <mergeCell ref="G16:H16"/>
    <mergeCell ref="G18:H18"/>
    <mergeCell ref="G19:H19"/>
    <mergeCell ref="F24:J24"/>
    <mergeCell ref="A2:A4"/>
    <mergeCell ref="F2:F3"/>
    <mergeCell ref="A5:A8"/>
    <mergeCell ref="F7:F8"/>
    <mergeCell ref="A9:A10"/>
    <mergeCell ref="A11:A13"/>
    <mergeCell ref="A14:A17"/>
    <mergeCell ref="A19:A21"/>
    <mergeCell ref="A22:A26"/>
    <mergeCell ref="A28:A29"/>
    <mergeCell ref="A30:A31"/>
    <mergeCell ref="A32:A35"/>
    <mergeCell ref="A36:A39"/>
    <mergeCell ref="A40:A45"/>
    <mergeCell ref="A46:A48"/>
    <mergeCell ref="A49:A52"/>
    <mergeCell ref="A53:A57"/>
    <mergeCell ref="A58:A59"/>
    <mergeCell ref="A60:A62"/>
    <mergeCell ref="A63:A69"/>
    <mergeCell ref="A70:A71"/>
    <mergeCell ref="A90:A92"/>
    <mergeCell ref="A93:A96"/>
    <mergeCell ref="A72:A74"/>
    <mergeCell ref="A75:A76"/>
    <mergeCell ref="A77:A79"/>
    <mergeCell ref="A80:A81"/>
    <mergeCell ref="A82:A84"/>
    <mergeCell ref="A86:A87"/>
    <mergeCell ref="A88:A8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4.38"/>
    <col customWidth="1" min="4" max="4" width="20.25"/>
    <col customWidth="1" min="5" max="5" width="19.13"/>
    <col customWidth="1" min="6" max="6" width="22.25"/>
    <col customWidth="1" min="7" max="7" width="36.0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8">
        <v>45897.0</v>
      </c>
      <c r="B2" s="41" t="s">
        <v>152</v>
      </c>
      <c r="C2" s="41">
        <v>24.0</v>
      </c>
      <c r="D2" s="99" t="s">
        <v>40</v>
      </c>
      <c r="E2" s="5"/>
      <c r="F2" s="100">
        <v>45897.0</v>
      </c>
      <c r="G2" s="101" t="s">
        <v>574</v>
      </c>
      <c r="H2" s="102">
        <v>433.0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41" t="s">
        <v>140</v>
      </c>
      <c r="C3" s="41">
        <v>304.0</v>
      </c>
      <c r="D3" s="99" t="s">
        <v>40</v>
      </c>
      <c r="E3" s="5"/>
      <c r="F3" s="92"/>
      <c r="G3" s="41" t="s">
        <v>575</v>
      </c>
      <c r="H3" s="104">
        <v>29112.0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1" t="s">
        <v>576</v>
      </c>
      <c r="C4" s="41">
        <v>1021.0</v>
      </c>
      <c r="D4" s="99" t="s">
        <v>467</v>
      </c>
      <c r="E4" s="5"/>
      <c r="F4" s="103">
        <v>45911.0</v>
      </c>
      <c r="G4" s="41" t="s">
        <v>161</v>
      </c>
      <c r="H4" s="104">
        <v>1500.0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41" t="s">
        <v>577</v>
      </c>
      <c r="C5" s="41">
        <v>1789.0</v>
      </c>
      <c r="D5" s="99" t="s">
        <v>467</v>
      </c>
      <c r="E5" s="5"/>
      <c r="F5" s="92"/>
      <c r="G5" s="41" t="s">
        <v>198</v>
      </c>
      <c r="H5" s="104">
        <v>2500.0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41" t="s">
        <v>84</v>
      </c>
      <c r="C6" s="41">
        <v>3000.0</v>
      </c>
      <c r="D6" s="99" t="s">
        <v>468</v>
      </c>
      <c r="E6" s="5"/>
      <c r="F6" s="92"/>
      <c r="G6" s="41" t="s">
        <v>48</v>
      </c>
      <c r="H6" s="104">
        <v>15000.0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8">
        <v>45898.0</v>
      </c>
      <c r="B7" s="41" t="s">
        <v>50</v>
      </c>
      <c r="C7" s="41">
        <v>30.0</v>
      </c>
      <c r="D7" s="99" t="s">
        <v>40</v>
      </c>
      <c r="E7" s="5"/>
      <c r="F7" s="103">
        <v>45915.0</v>
      </c>
      <c r="G7" s="41" t="s">
        <v>198</v>
      </c>
      <c r="H7" s="104">
        <v>3000.0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41" t="s">
        <v>120</v>
      </c>
      <c r="C8" s="41">
        <v>25.0</v>
      </c>
      <c r="D8" s="99" t="s">
        <v>40</v>
      </c>
      <c r="E8" s="5"/>
      <c r="F8" s="92"/>
      <c r="G8" s="41" t="s">
        <v>161</v>
      </c>
      <c r="H8" s="104">
        <v>2000.0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41" t="s">
        <v>340</v>
      </c>
      <c r="C9" s="41">
        <v>20.0</v>
      </c>
      <c r="D9" s="99" t="s">
        <v>40</v>
      </c>
      <c r="E9" s="5"/>
      <c r="F9" s="103">
        <v>45916.0</v>
      </c>
      <c r="G9" s="41" t="s">
        <v>578</v>
      </c>
      <c r="H9" s="104">
        <v>5000.0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B10" s="41" t="s">
        <v>93</v>
      </c>
      <c r="C10" s="41">
        <v>112.0</v>
      </c>
      <c r="D10" s="99" t="s">
        <v>40</v>
      </c>
      <c r="E10" s="5"/>
      <c r="F10" s="103">
        <v>45921.0</v>
      </c>
      <c r="G10" s="41" t="s">
        <v>579</v>
      </c>
      <c r="H10" s="104">
        <v>500.0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8">
        <v>45899.0</v>
      </c>
      <c r="B11" s="41" t="s">
        <v>50</v>
      </c>
      <c r="C11" s="41">
        <v>30.0</v>
      </c>
      <c r="D11" s="99" t="s">
        <v>40</v>
      </c>
      <c r="E11" s="5"/>
      <c r="F11" s="92"/>
      <c r="G11" s="41" t="s">
        <v>578</v>
      </c>
      <c r="H11" s="104">
        <v>1000.0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B12" s="41" t="s">
        <v>61</v>
      </c>
      <c r="C12" s="41">
        <v>60.0</v>
      </c>
      <c r="D12" s="99" t="s">
        <v>40</v>
      </c>
      <c r="E12" s="5"/>
      <c r="F12" s="103">
        <v>45923.0</v>
      </c>
      <c r="G12" s="113" t="s">
        <v>580</v>
      </c>
      <c r="H12" s="114">
        <v>4000.0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41" t="s">
        <v>56</v>
      </c>
      <c r="C13" s="41">
        <v>10.0</v>
      </c>
      <c r="D13" s="99" t="s">
        <v>40</v>
      </c>
      <c r="E13" s="5"/>
      <c r="F13" s="117" t="s">
        <v>49</v>
      </c>
      <c r="G13" s="119">
        <f>SUMIF(G2:G12, "&lt;&gt;Credit", H2:H9)</f>
        <v>49045</v>
      </c>
      <c r="H13" s="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41" t="s">
        <v>93</v>
      </c>
      <c r="C14" s="41">
        <v>61.0</v>
      </c>
      <c r="D14" s="99" t="s">
        <v>40</v>
      </c>
      <c r="E14" s="5"/>
      <c r="F14" s="117" t="s">
        <v>51</v>
      </c>
      <c r="G14" s="118">
        <f>SUMIF(D2:D205, "&lt;&gt;Credit", C2:C513) + G15</f>
        <v>48896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8">
        <v>45900.0</v>
      </c>
      <c r="B15" s="41" t="s">
        <v>61</v>
      </c>
      <c r="C15" s="41">
        <v>10.0</v>
      </c>
      <c r="D15" s="99" t="s">
        <v>40</v>
      </c>
      <c r="E15" s="5"/>
      <c r="F15" s="117" t="s">
        <v>53</v>
      </c>
      <c r="G15" s="119">
        <f>-7+3+2+5+8+93-51+7</f>
        <v>60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B16" s="41" t="s">
        <v>581</v>
      </c>
      <c r="C16" s="41">
        <v>1883.0</v>
      </c>
      <c r="D16" s="99" t="s">
        <v>190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B17" s="41" t="s">
        <v>80</v>
      </c>
      <c r="C17" s="41">
        <v>65.0</v>
      </c>
      <c r="D17" s="99" t="s">
        <v>40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B18" s="41" t="s">
        <v>582</v>
      </c>
      <c r="C18" s="41">
        <v>20.0</v>
      </c>
      <c r="D18" s="99" t="s">
        <v>40</v>
      </c>
      <c r="E18" s="5"/>
      <c r="F18" s="117" t="s">
        <v>500</v>
      </c>
      <c r="G18" s="121">
        <f>G13-G14-J31</f>
        <v>149</v>
      </c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B19" s="41" t="s">
        <v>93</v>
      </c>
      <c r="C19" s="41">
        <v>27.0</v>
      </c>
      <c r="D19" s="99" t="s">
        <v>40</v>
      </c>
      <c r="E19" s="5"/>
      <c r="F19" s="117" t="s">
        <v>501</v>
      </c>
      <c r="G19" s="122">
        <f>G13-G14</f>
        <v>149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B20" s="41" t="s">
        <v>148</v>
      </c>
      <c r="C20" s="41">
        <v>45.0</v>
      </c>
      <c r="D20" s="99" t="s">
        <v>40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8">
        <v>45901.0</v>
      </c>
      <c r="B21" s="41" t="s">
        <v>125</v>
      </c>
      <c r="C21" s="41">
        <v>273.0</v>
      </c>
      <c r="D21" s="99" t="s">
        <v>40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41" t="s">
        <v>305</v>
      </c>
      <c r="C22" s="41">
        <v>61.0</v>
      </c>
      <c r="D22" s="99" t="s">
        <v>40</v>
      </c>
      <c r="E22" s="5"/>
      <c r="F22" s="124" t="s">
        <v>40</v>
      </c>
      <c r="G22" s="19">
        <v>5000.0</v>
      </c>
      <c r="H22" s="37">
        <f>SUMIF(D2:D128, "=Living expense",C2:C146)+G15</f>
        <v>6866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41" t="s">
        <v>66</v>
      </c>
      <c r="C23" s="41">
        <v>3996.0</v>
      </c>
      <c r="D23" s="99" t="s">
        <v>475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B24" s="41" t="s">
        <v>41</v>
      </c>
      <c r="C24" s="41">
        <v>5000.0</v>
      </c>
      <c r="D24" s="99" t="s">
        <v>101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41" t="s">
        <v>583</v>
      </c>
      <c r="C25" s="41">
        <v>200.0</v>
      </c>
      <c r="D25" s="99" t="s">
        <v>101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B26" s="41" t="s">
        <v>50</v>
      </c>
      <c r="C26" s="41">
        <v>60.0</v>
      </c>
      <c r="D26" s="99" t="s">
        <v>40</v>
      </c>
      <c r="E26" s="5"/>
      <c r="F26" s="149" t="s">
        <v>12</v>
      </c>
      <c r="G26" s="150">
        <v>5000.0</v>
      </c>
      <c r="H26" s="151">
        <f>SUMIF($D$2:$D$504, "=Gonsa",$C$2:$C$504)</f>
        <v>5000</v>
      </c>
      <c r="I26" s="117" t="b">
        <v>1</v>
      </c>
      <c r="J26" s="37">
        <f t="shared" ref="J26:J30" si="1">IF(I26=TRUE,0,MAX(G26-H26,0))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B27" s="41" t="s">
        <v>584</v>
      </c>
      <c r="C27" s="41">
        <v>-68.0</v>
      </c>
      <c r="D27" s="99" t="s">
        <v>40</v>
      </c>
      <c r="E27" s="5"/>
      <c r="F27" s="149" t="s">
        <v>475</v>
      </c>
      <c r="G27" s="150">
        <v>4000.0</v>
      </c>
      <c r="H27" s="151">
        <f>SUMIF($D$2:$D$504, "=Rent",$C$2:$C$504)</f>
        <v>3996</v>
      </c>
      <c r="I27" s="117" t="b">
        <v>1</v>
      </c>
      <c r="J27" s="37">
        <f t="shared" si="1"/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B28" s="41" t="s">
        <v>585</v>
      </c>
      <c r="C28" s="41">
        <v>-68.0</v>
      </c>
      <c r="D28" s="99" t="s">
        <v>40</v>
      </c>
      <c r="E28" s="5"/>
      <c r="F28" s="168" t="s">
        <v>101</v>
      </c>
      <c r="G28" s="19">
        <v>5000.0</v>
      </c>
      <c r="H28" s="151">
        <f>SUMIF($D$2:$D$504, "=Parent",$C$2:$C$504)</f>
        <v>8019</v>
      </c>
      <c r="I28" s="117" t="b">
        <v>1</v>
      </c>
      <c r="J28" s="37">
        <f t="shared" si="1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B29" s="41" t="s">
        <v>586</v>
      </c>
      <c r="C29" s="41">
        <v>200.0</v>
      </c>
      <c r="D29" s="99" t="s">
        <v>190</v>
      </c>
      <c r="E29" s="5"/>
      <c r="F29" s="168" t="s">
        <v>468</v>
      </c>
      <c r="G29" s="19">
        <v>3000.0</v>
      </c>
      <c r="H29" s="151">
        <f>SUMIF($D$2:$D$504, "=Khang debt",$C$2:$C$504)</f>
        <v>3000</v>
      </c>
      <c r="I29" s="117" t="b">
        <v>1</v>
      </c>
      <c r="J29" s="37">
        <f t="shared" si="1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B30" s="41" t="s">
        <v>93</v>
      </c>
      <c r="C30" s="41">
        <v>60.0</v>
      </c>
      <c r="D30" s="99" t="s">
        <v>40</v>
      </c>
      <c r="E30" s="5"/>
      <c r="F30" s="168" t="s">
        <v>467</v>
      </c>
      <c r="G30" s="19">
        <v>8193.0</v>
      </c>
      <c r="H30" s="151">
        <f>SUMIF($D$2:$D$504, "=Credit debt",$C$2:$C$504)</f>
        <v>8310</v>
      </c>
      <c r="I30" s="117" t="b">
        <v>1</v>
      </c>
      <c r="J30" s="37">
        <f t="shared" si="1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8"/>
      <c r="B31" s="41" t="s">
        <v>587</v>
      </c>
      <c r="C31" s="41">
        <v>-68.0</v>
      </c>
      <c r="D31" s="99" t="s">
        <v>40</v>
      </c>
      <c r="E31" s="5"/>
      <c r="F31" s="168" t="s">
        <v>73</v>
      </c>
      <c r="G31" s="39">
        <f>SUM(G25:G30)</f>
        <v>25193</v>
      </c>
      <c r="H31" s="39">
        <f>SUM(H25:H28)</f>
        <v>17015</v>
      </c>
      <c r="I31" s="117"/>
      <c r="J31" s="39">
        <f>SUM(J26:J30)</f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8">
        <v>45902.0</v>
      </c>
      <c r="B32" s="41" t="s">
        <v>50</v>
      </c>
      <c r="C32" s="41">
        <v>60.0</v>
      </c>
      <c r="D32" s="99" t="s">
        <v>40</v>
      </c>
      <c r="E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B33" s="41" t="s">
        <v>93</v>
      </c>
      <c r="C33" s="41">
        <v>118.0</v>
      </c>
      <c r="D33" s="99" t="s">
        <v>40</v>
      </c>
      <c r="E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8">
        <v>45903.0</v>
      </c>
      <c r="B34" s="41" t="s">
        <v>152</v>
      </c>
      <c r="C34" s="41">
        <v>26.0</v>
      </c>
      <c r="D34" s="99" t="s">
        <v>40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41" t="s">
        <v>93</v>
      </c>
      <c r="C35" s="41">
        <v>30.0</v>
      </c>
      <c r="D35" s="99" t="s">
        <v>40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B36" s="41" t="s">
        <v>588</v>
      </c>
      <c r="C36" s="41">
        <v>43.0</v>
      </c>
      <c r="D36" s="99" t="s">
        <v>40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B37" s="41" t="s">
        <v>148</v>
      </c>
      <c r="C37" s="41">
        <v>45.0</v>
      </c>
      <c r="D37" s="99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98">
        <v>45904.0</v>
      </c>
      <c r="B38" s="41" t="s">
        <v>152</v>
      </c>
      <c r="C38" s="41">
        <v>20.0</v>
      </c>
      <c r="D38" s="99" t="s">
        <v>40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B39" s="41" t="s">
        <v>93</v>
      </c>
      <c r="C39" s="41">
        <v>83.0</v>
      </c>
      <c r="D39" s="99" t="s">
        <v>40</v>
      </c>
      <c r="E39" s="4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B40" s="41" t="s">
        <v>430</v>
      </c>
      <c r="C40" s="41">
        <v>385.0</v>
      </c>
      <c r="D40" s="99" t="s">
        <v>101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B41" s="41" t="s">
        <v>589</v>
      </c>
      <c r="C41" s="41">
        <v>117.0</v>
      </c>
      <c r="D41" s="99" t="s">
        <v>40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8">
        <v>45905.0</v>
      </c>
      <c r="B42" s="41" t="s">
        <v>590</v>
      </c>
      <c r="C42" s="41">
        <v>25.0</v>
      </c>
      <c r="D42" s="99" t="s">
        <v>40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41" t="s">
        <v>50</v>
      </c>
      <c r="C43" s="41">
        <v>60.0</v>
      </c>
      <c r="D43" s="99" t="s">
        <v>40</v>
      </c>
      <c r="E43" s="4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B44" s="41" t="s">
        <v>93</v>
      </c>
      <c r="C44" s="41">
        <v>77.0</v>
      </c>
      <c r="D44" s="99" t="s">
        <v>40</v>
      </c>
      <c r="E44" s="4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8">
        <v>45906.0</v>
      </c>
      <c r="B45" s="41" t="s">
        <v>89</v>
      </c>
      <c r="C45" s="41">
        <v>35.0</v>
      </c>
      <c r="D45" s="99" t="s">
        <v>40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B46" s="41" t="s">
        <v>50</v>
      </c>
      <c r="C46" s="41">
        <v>42.0</v>
      </c>
      <c r="D46" s="99" t="s">
        <v>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B47" s="41" t="s">
        <v>152</v>
      </c>
      <c r="C47" s="41">
        <v>14.0</v>
      </c>
      <c r="D47" s="99" t="s">
        <v>40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B48" s="41" t="s">
        <v>591</v>
      </c>
      <c r="C48" s="41">
        <v>700.0</v>
      </c>
      <c r="D48" s="99" t="s">
        <v>190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B49" s="41" t="s">
        <v>93</v>
      </c>
      <c r="C49" s="41">
        <v>88.0</v>
      </c>
      <c r="D49" s="99" t="s">
        <v>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98">
        <v>45907.0</v>
      </c>
      <c r="B50" s="41" t="s">
        <v>50</v>
      </c>
      <c r="C50" s="41">
        <v>40.0</v>
      </c>
      <c r="D50" s="99" t="s">
        <v>40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B51" s="41" t="s">
        <v>270</v>
      </c>
      <c r="C51" s="41">
        <v>389.0</v>
      </c>
      <c r="D51" s="99" t="s">
        <v>40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B52" s="41" t="s">
        <v>592</v>
      </c>
      <c r="C52" s="41">
        <v>500.0</v>
      </c>
      <c r="D52" s="99" t="s">
        <v>34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B53" s="41" t="s">
        <v>93</v>
      </c>
      <c r="C53" s="41">
        <v>66.0</v>
      </c>
      <c r="D53" s="99" t="s">
        <v>40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98">
        <v>45908.0</v>
      </c>
      <c r="B54" s="41" t="s">
        <v>89</v>
      </c>
      <c r="C54" s="41">
        <v>15.0</v>
      </c>
      <c r="D54" s="99" t="s">
        <v>40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41" t="s">
        <v>37</v>
      </c>
      <c r="C55" s="41">
        <v>50.0</v>
      </c>
      <c r="D55" s="99" t="s">
        <v>40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B56" s="41" t="s">
        <v>593</v>
      </c>
      <c r="C56" s="41">
        <v>100.0</v>
      </c>
      <c r="D56" s="99" t="s">
        <v>40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B57" s="41" t="s">
        <v>594</v>
      </c>
      <c r="C57" s="41">
        <v>-500.0</v>
      </c>
      <c r="D57" s="99" t="s">
        <v>34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B58" s="41" t="s">
        <v>91</v>
      </c>
      <c r="C58" s="41">
        <v>88.0</v>
      </c>
      <c r="D58" s="99" t="s">
        <v>40</v>
      </c>
      <c r="E58" s="4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B59" s="41" t="s">
        <v>595</v>
      </c>
      <c r="C59" s="41">
        <v>72.0</v>
      </c>
      <c r="D59" s="99" t="s">
        <v>40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98">
        <v>45909.0</v>
      </c>
      <c r="B60" s="41" t="s">
        <v>89</v>
      </c>
      <c r="C60" s="41">
        <v>13.0</v>
      </c>
      <c r="D60" s="99" t="s">
        <v>40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B61" s="41" t="s">
        <v>152</v>
      </c>
      <c r="C61" s="41">
        <v>22.0</v>
      </c>
      <c r="D61" s="99" t="s">
        <v>40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B62" s="41" t="s">
        <v>596</v>
      </c>
      <c r="C62" s="41">
        <v>6000.0</v>
      </c>
      <c r="D62" s="99" t="s">
        <v>48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B63" s="41" t="s">
        <v>597</v>
      </c>
      <c r="C63" s="41">
        <v>-140.0</v>
      </c>
      <c r="D63" s="99" t="s">
        <v>40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B64" s="41" t="s">
        <v>93</v>
      </c>
      <c r="C64" s="41">
        <v>40.0</v>
      </c>
      <c r="D64" s="99" t="s">
        <v>40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98">
        <v>45910.0</v>
      </c>
      <c r="B65" s="41" t="s">
        <v>152</v>
      </c>
      <c r="C65" s="41">
        <v>11.0</v>
      </c>
      <c r="D65" s="99" t="s">
        <v>40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B66" s="41" t="s">
        <v>93</v>
      </c>
      <c r="C66" s="41">
        <v>120.0</v>
      </c>
      <c r="D66" s="99" t="s">
        <v>40</v>
      </c>
      <c r="E66" s="4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98">
        <v>45911.0</v>
      </c>
      <c r="B67" s="41" t="s">
        <v>89</v>
      </c>
      <c r="C67" s="41">
        <v>15.0</v>
      </c>
      <c r="D67" s="99" t="s">
        <v>40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B68" s="41" t="s">
        <v>598</v>
      </c>
      <c r="C68" s="41">
        <v>36.0</v>
      </c>
      <c r="D68" s="99" t="s">
        <v>40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B69" s="41" t="s">
        <v>599</v>
      </c>
      <c r="C69" s="41">
        <v>5500.0</v>
      </c>
      <c r="D69" s="99" t="s">
        <v>467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B70" s="41" t="s">
        <v>93</v>
      </c>
      <c r="C70" s="41">
        <v>65.0</v>
      </c>
      <c r="D70" s="99" t="s">
        <v>40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41" t="s">
        <v>600</v>
      </c>
      <c r="C71" s="41">
        <v>200.0</v>
      </c>
      <c r="D71" s="99" t="s">
        <v>190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B72" s="41" t="s">
        <v>601</v>
      </c>
      <c r="C72" s="41">
        <v>65.0</v>
      </c>
      <c r="D72" s="99" t="s">
        <v>40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98">
        <v>45912.0</v>
      </c>
      <c r="B73" s="41" t="s">
        <v>50</v>
      </c>
      <c r="C73" s="41">
        <v>29.0</v>
      </c>
      <c r="D73" s="99" t="s">
        <v>40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41" t="s">
        <v>295</v>
      </c>
      <c r="C74" s="41">
        <v>48.0</v>
      </c>
      <c r="D74" s="99" t="s">
        <v>40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B75" s="41" t="s">
        <v>602</v>
      </c>
      <c r="C75" s="41">
        <v>60.0</v>
      </c>
      <c r="D75" s="99" t="s">
        <v>40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41" t="s">
        <v>84</v>
      </c>
      <c r="C76" s="41">
        <v>1500.0</v>
      </c>
      <c r="D76" s="99" t="s">
        <v>603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B77" s="41" t="s">
        <v>604</v>
      </c>
      <c r="C77" s="41">
        <v>138.0</v>
      </c>
      <c r="D77" s="99" t="s">
        <v>190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B78" s="41" t="s">
        <v>33</v>
      </c>
      <c r="C78" s="41">
        <v>500.0</v>
      </c>
      <c r="D78" s="99" t="s">
        <v>34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98">
        <v>45913.0</v>
      </c>
      <c r="B79" s="41" t="s">
        <v>89</v>
      </c>
      <c r="C79" s="41">
        <v>22.0</v>
      </c>
      <c r="D79" s="99" t="s">
        <v>40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B80" s="41" t="s">
        <v>11</v>
      </c>
      <c r="C80" s="41">
        <v>54.0</v>
      </c>
      <c r="D80" s="99" t="s">
        <v>40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B81" s="41" t="s">
        <v>50</v>
      </c>
      <c r="C81" s="41">
        <v>37.0</v>
      </c>
      <c r="D81" s="99" t="s">
        <v>40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B82" s="41" t="s">
        <v>91</v>
      </c>
      <c r="C82" s="41">
        <v>120.0</v>
      </c>
      <c r="D82" s="99" t="s">
        <v>40</v>
      </c>
      <c r="E82" s="4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98">
        <v>45914.0</v>
      </c>
      <c r="B83" s="41" t="s">
        <v>50</v>
      </c>
      <c r="C83" s="41">
        <v>70.0</v>
      </c>
      <c r="D83" s="99" t="s">
        <v>40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41" t="s">
        <v>93</v>
      </c>
      <c r="C84" s="41">
        <v>71.0</v>
      </c>
      <c r="D84" s="99" t="s">
        <v>40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98">
        <v>45915.0</v>
      </c>
      <c r="B85" s="41" t="s">
        <v>605</v>
      </c>
      <c r="C85" s="41">
        <v>14.0</v>
      </c>
      <c r="D85" s="99" t="s">
        <v>40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B86" s="41" t="s">
        <v>597</v>
      </c>
      <c r="C86" s="41">
        <v>-70.0</v>
      </c>
      <c r="D86" s="99" t="s">
        <v>40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B87" s="41" t="s">
        <v>93</v>
      </c>
      <c r="C87" s="41">
        <v>27.0</v>
      </c>
      <c r="D87" s="99" t="s">
        <v>40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B88" s="41" t="s">
        <v>148</v>
      </c>
      <c r="C88" s="41">
        <v>41.0</v>
      </c>
      <c r="D88" s="99" t="s">
        <v>40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B89" s="41" t="s">
        <v>37</v>
      </c>
      <c r="C89" s="41">
        <v>45.0</v>
      </c>
      <c r="D89" s="99" t="s">
        <v>40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B90" s="41" t="s">
        <v>606</v>
      </c>
      <c r="C90" s="41">
        <v>9000.0</v>
      </c>
      <c r="D90" s="99" t="s">
        <v>48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B91" s="41" t="s">
        <v>606</v>
      </c>
      <c r="C91" s="41">
        <v>3000.0</v>
      </c>
      <c r="D91" s="99" t="s">
        <v>190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41" t="s">
        <v>12</v>
      </c>
      <c r="C92" s="41">
        <v>5000.0</v>
      </c>
      <c r="D92" s="99" t="s">
        <v>12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8">
        <v>45916.0</v>
      </c>
      <c r="B93" s="41" t="s">
        <v>607</v>
      </c>
      <c r="C93" s="41">
        <v>75.0</v>
      </c>
      <c r="D93" s="99" t="s">
        <v>40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B94" s="41" t="s">
        <v>512</v>
      </c>
      <c r="C94" s="41">
        <v>708.0</v>
      </c>
      <c r="D94" s="99" t="s">
        <v>101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B95" s="41" t="s">
        <v>152</v>
      </c>
      <c r="C95" s="41">
        <v>35.0</v>
      </c>
      <c r="D95" s="99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B96" s="41" t="s">
        <v>91</v>
      </c>
      <c r="C96" s="41">
        <f>107-54</f>
        <v>53</v>
      </c>
      <c r="D96" s="99" t="s">
        <v>40</v>
      </c>
      <c r="E96" s="4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B97" s="41" t="s">
        <v>148</v>
      </c>
      <c r="C97" s="41">
        <v>93.0</v>
      </c>
      <c r="D97" s="99" t="s">
        <v>40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98">
        <v>45917.0</v>
      </c>
      <c r="B98" s="41" t="s">
        <v>152</v>
      </c>
      <c r="C98" s="41">
        <v>14.0</v>
      </c>
      <c r="D98" s="99" t="s">
        <v>40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B99" s="41" t="s">
        <v>93</v>
      </c>
      <c r="C99" s="5">
        <f>198-40-40-40-32</f>
        <v>46</v>
      </c>
      <c r="D99" s="99" t="s">
        <v>40</v>
      </c>
      <c r="E99" s="4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B100" s="41" t="s">
        <v>305</v>
      </c>
      <c r="C100" s="41">
        <v>91.0</v>
      </c>
      <c r="D100" s="99" t="s">
        <v>40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98">
        <v>45918.0</v>
      </c>
      <c r="B101" s="41" t="s">
        <v>89</v>
      </c>
      <c r="C101" s="41">
        <v>15.0</v>
      </c>
      <c r="D101" s="99" t="s">
        <v>40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B102" s="41" t="s">
        <v>152</v>
      </c>
      <c r="C102" s="41">
        <v>14.0</v>
      </c>
      <c r="D102" s="99" t="s">
        <v>40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B103" s="41" t="s">
        <v>91</v>
      </c>
      <c r="C103" s="41">
        <f>180-42-45</f>
        <v>93</v>
      </c>
      <c r="D103" s="99" t="s">
        <v>40</v>
      </c>
      <c r="E103" s="4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B104" s="41" t="s">
        <v>608</v>
      </c>
      <c r="C104" s="41">
        <v>46.0</v>
      </c>
      <c r="D104" s="99" t="s">
        <v>101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B105" s="41" t="s">
        <v>384</v>
      </c>
      <c r="C105" s="41">
        <v>1493.0</v>
      </c>
      <c r="D105" s="99" t="s">
        <v>190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B106" s="41" t="s">
        <v>533</v>
      </c>
      <c r="C106" s="41">
        <v>638.0</v>
      </c>
      <c r="D106" s="99" t="s">
        <v>190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98">
        <v>45919.0</v>
      </c>
      <c r="B107" s="41" t="s">
        <v>89</v>
      </c>
      <c r="C107" s="41">
        <v>15.0</v>
      </c>
      <c r="D107" s="99" t="s">
        <v>40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B108" s="41" t="s">
        <v>50</v>
      </c>
      <c r="C108" s="41">
        <v>30.0</v>
      </c>
      <c r="D108" s="99" t="s">
        <v>40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B109" s="41" t="s">
        <v>91</v>
      </c>
      <c r="C109" s="41">
        <f>198-64-40</f>
        <v>94</v>
      </c>
      <c r="D109" s="99" t="s">
        <v>40</v>
      </c>
      <c r="E109" s="4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B110" s="41" t="s">
        <v>56</v>
      </c>
      <c r="C110" s="41">
        <v>12.0</v>
      </c>
      <c r="D110" s="99" t="s">
        <v>40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B111" s="41" t="s">
        <v>595</v>
      </c>
      <c r="C111" s="41">
        <v>57.0</v>
      </c>
      <c r="D111" s="99" t="s">
        <v>40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98">
        <v>45920.0</v>
      </c>
      <c r="B112" s="41" t="s">
        <v>50</v>
      </c>
      <c r="C112" s="41">
        <v>35.0</v>
      </c>
      <c r="D112" s="99" t="s">
        <v>40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B113" s="41" t="s">
        <v>152</v>
      </c>
      <c r="C113" s="41">
        <v>26.0</v>
      </c>
      <c r="D113" s="99" t="s">
        <v>40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B114" s="41" t="s">
        <v>93</v>
      </c>
      <c r="C114" s="41">
        <v>27.0</v>
      </c>
      <c r="D114" s="99" t="s">
        <v>40</v>
      </c>
      <c r="E114" s="4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B115" s="41" t="s">
        <v>305</v>
      </c>
      <c r="C115" s="41">
        <v>74.0</v>
      </c>
      <c r="D115" s="99" t="s">
        <v>40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98">
        <v>45921.0</v>
      </c>
      <c r="B116" s="41" t="s">
        <v>609</v>
      </c>
      <c r="C116" s="41">
        <v>250.0</v>
      </c>
      <c r="D116" s="99" t="s">
        <v>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B117" s="41" t="s">
        <v>50</v>
      </c>
      <c r="C117" s="41">
        <v>30.0</v>
      </c>
      <c r="D117" s="99" t="s">
        <v>40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B118" s="41" t="s">
        <v>610</v>
      </c>
      <c r="C118" s="41">
        <v>80.0</v>
      </c>
      <c r="D118" s="99" t="s">
        <v>40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B119" s="41" t="s">
        <v>611</v>
      </c>
      <c r="C119" s="41">
        <v>1440.0</v>
      </c>
      <c r="D119" s="99" t="s">
        <v>40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B120" s="41" t="s">
        <v>612</v>
      </c>
      <c r="C120" s="41">
        <v>155.0</v>
      </c>
      <c r="D120" s="99" t="s">
        <v>40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B121" s="41" t="s">
        <v>80</v>
      </c>
      <c r="C121" s="41">
        <v>100.0</v>
      </c>
      <c r="D121" s="99" t="s">
        <v>40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98">
        <v>45922.0</v>
      </c>
      <c r="B122" s="41" t="s">
        <v>405</v>
      </c>
      <c r="C122" s="41">
        <v>50.0</v>
      </c>
      <c r="D122" s="99" t="s">
        <v>40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B123" s="41" t="s">
        <v>50</v>
      </c>
      <c r="C123" s="41">
        <v>50.0</v>
      </c>
      <c r="D123" s="99" t="s">
        <v>40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B124" s="41" t="s">
        <v>151</v>
      </c>
      <c r="C124" s="41">
        <v>33.0</v>
      </c>
      <c r="D124" s="99" t="s">
        <v>40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B125" s="41" t="s">
        <v>152</v>
      </c>
      <c r="C125" s="41">
        <v>14.0</v>
      </c>
      <c r="D125" s="99" t="s">
        <v>40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B126" s="41" t="s">
        <v>122</v>
      </c>
      <c r="C126" s="5">
        <f>191-48-56-40</f>
        <v>47</v>
      </c>
      <c r="D126" s="99" t="s">
        <v>40</v>
      </c>
      <c r="E126" s="4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98">
        <v>45923.0</v>
      </c>
      <c r="B127" s="41" t="s">
        <v>50</v>
      </c>
      <c r="C127" s="41">
        <v>33.0</v>
      </c>
      <c r="D127" s="99" t="s">
        <v>40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B128" s="41" t="s">
        <v>152</v>
      </c>
      <c r="C128" s="41">
        <v>14.0</v>
      </c>
      <c r="D128" s="99" t="s">
        <v>40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B129" s="41" t="s">
        <v>122</v>
      </c>
      <c r="C129" s="5">
        <f>244-37-48-36-38-38</f>
        <v>47</v>
      </c>
      <c r="D129" s="99" t="s">
        <v>40</v>
      </c>
      <c r="E129" s="41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B130" s="41" t="s">
        <v>84</v>
      </c>
      <c r="C130" s="41">
        <v>2000.0</v>
      </c>
      <c r="D130" s="99" t="s">
        <v>603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98">
        <v>45924.0</v>
      </c>
      <c r="B131" s="41" t="s">
        <v>50</v>
      </c>
      <c r="C131" s="41">
        <v>45.0</v>
      </c>
      <c r="D131" s="99" t="s">
        <v>40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B132" s="41" t="s">
        <v>93</v>
      </c>
      <c r="C132" s="41">
        <v>100.0</v>
      </c>
      <c r="D132" s="99" t="s">
        <v>40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B133" s="41" t="s">
        <v>592</v>
      </c>
      <c r="C133" s="41">
        <v>500.0</v>
      </c>
      <c r="D133" s="99" t="s">
        <v>34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98">
        <v>45925.0</v>
      </c>
      <c r="B134" s="41" t="s">
        <v>50</v>
      </c>
      <c r="C134" s="41">
        <v>45.0</v>
      </c>
      <c r="D134" s="99" t="s">
        <v>40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B135" s="41" t="s">
        <v>152</v>
      </c>
      <c r="C135" s="41">
        <v>14.0</v>
      </c>
      <c r="D135" s="99" t="s">
        <v>40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B136" s="41" t="s">
        <v>122</v>
      </c>
      <c r="C136" s="5">
        <f>151</f>
        <v>151</v>
      </c>
      <c r="D136" s="99" t="s">
        <v>40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B137" s="41" t="s">
        <v>286</v>
      </c>
      <c r="C137" s="41">
        <v>100.0</v>
      </c>
      <c r="D137" s="99" t="s">
        <v>40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B138" s="41" t="s">
        <v>613</v>
      </c>
      <c r="C138" s="41">
        <v>27.0</v>
      </c>
      <c r="D138" s="99" t="s">
        <v>40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98">
        <v>45926.0</v>
      </c>
      <c r="B139" s="41" t="s">
        <v>614</v>
      </c>
      <c r="C139" s="5">
        <f>119+46-70-35-43</f>
        <v>17</v>
      </c>
      <c r="D139" s="99" t="s">
        <v>40</v>
      </c>
      <c r="E139" s="4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B140" s="41" t="s">
        <v>148</v>
      </c>
      <c r="C140" s="41">
        <v>75.0</v>
      </c>
      <c r="D140" s="99" t="s">
        <v>40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B141" s="41" t="s">
        <v>91</v>
      </c>
      <c r="C141" s="41">
        <v>37.0</v>
      </c>
      <c r="D141" s="99" t="s">
        <v>40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98">
        <v>45927.0</v>
      </c>
      <c r="B142" s="41" t="s">
        <v>50</v>
      </c>
      <c r="C142" s="41">
        <v>40.0</v>
      </c>
      <c r="D142" s="99" t="s">
        <v>40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B143" s="41" t="s">
        <v>152</v>
      </c>
      <c r="C143" s="41">
        <v>14.0</v>
      </c>
      <c r="D143" s="99" t="s">
        <v>40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98">
        <v>45928.0</v>
      </c>
      <c r="B144" s="41" t="s">
        <v>305</v>
      </c>
      <c r="C144" s="41">
        <v>64.0</v>
      </c>
      <c r="D144" s="99" t="s">
        <v>40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B145" s="41" t="s">
        <v>615</v>
      </c>
      <c r="C145" s="41">
        <v>1680.0</v>
      </c>
      <c r="D145" s="99" t="s">
        <v>101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B146" s="41" t="s">
        <v>395</v>
      </c>
      <c r="C146" s="41">
        <v>119.0</v>
      </c>
      <c r="D146" s="99" t="s">
        <v>40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B147" s="41" t="s">
        <v>216</v>
      </c>
      <c r="C147" s="41">
        <v>58.0</v>
      </c>
      <c r="D147" s="99" t="s">
        <v>40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99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99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3">
    <mergeCell ref="G13:H13"/>
    <mergeCell ref="G14:H14"/>
    <mergeCell ref="G15:H15"/>
    <mergeCell ref="G16:H16"/>
    <mergeCell ref="G18:H18"/>
    <mergeCell ref="G19:H19"/>
    <mergeCell ref="F24:J24"/>
    <mergeCell ref="A2:A6"/>
    <mergeCell ref="F2:F3"/>
    <mergeCell ref="F4:F6"/>
    <mergeCell ref="A7:A10"/>
    <mergeCell ref="F7:F8"/>
    <mergeCell ref="F10:F11"/>
    <mergeCell ref="A11:A14"/>
    <mergeCell ref="A15:A20"/>
    <mergeCell ref="A21:A30"/>
    <mergeCell ref="A32:A33"/>
    <mergeCell ref="A34:A37"/>
    <mergeCell ref="A38:A41"/>
    <mergeCell ref="A42:A44"/>
    <mergeCell ref="A45:A49"/>
    <mergeCell ref="A50:A53"/>
    <mergeCell ref="A54:A59"/>
    <mergeCell ref="A60:A64"/>
    <mergeCell ref="A65:A66"/>
    <mergeCell ref="A67:A72"/>
    <mergeCell ref="A73:A78"/>
    <mergeCell ref="A79:A82"/>
    <mergeCell ref="A116:A121"/>
    <mergeCell ref="A122:A126"/>
    <mergeCell ref="A127:A130"/>
    <mergeCell ref="A131:A133"/>
    <mergeCell ref="A134:A138"/>
    <mergeCell ref="A139:A141"/>
    <mergeCell ref="A142:A143"/>
    <mergeCell ref="A144:A147"/>
    <mergeCell ref="A83:A84"/>
    <mergeCell ref="A85:A92"/>
    <mergeCell ref="A93:A97"/>
    <mergeCell ref="A98:A100"/>
    <mergeCell ref="A101:A106"/>
    <mergeCell ref="A107:A111"/>
    <mergeCell ref="A112:A115"/>
  </mergeCells>
  <dataValidations>
    <dataValidation type="list" allowBlank="1" showErrorMessage="1" sqref="D2:D147">
      <formula1>"Living expense,Credit debt,Khang debt,Buy,Rent,Parent,Support,Credit,Debt,Gonsa"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5.38"/>
    <col customWidth="1" min="3" max="3" width="14.13"/>
    <col customWidth="1" min="4" max="4" width="18.63"/>
    <col customWidth="1" min="5" max="5" width="19.88"/>
    <col customWidth="1" min="6" max="6" width="22.25"/>
    <col customWidth="1" min="7" max="7" width="35.88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0">
        <v>45868.0</v>
      </c>
      <c r="B2" s="41" t="s">
        <v>84</v>
      </c>
      <c r="C2" s="132">
        <v>1000.0</v>
      </c>
      <c r="D2" s="99" t="s">
        <v>468</v>
      </c>
      <c r="E2" s="5"/>
      <c r="F2" s="100">
        <v>45868.0</v>
      </c>
      <c r="G2" s="101" t="s">
        <v>616</v>
      </c>
      <c r="H2" s="102">
        <v>46.0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2"/>
      <c r="B3" s="41" t="s">
        <v>617</v>
      </c>
      <c r="C3" s="132">
        <v>243.0</v>
      </c>
      <c r="D3" s="99" t="s">
        <v>467</v>
      </c>
      <c r="E3" s="5"/>
      <c r="F3" s="92"/>
      <c r="G3" s="41" t="s">
        <v>618</v>
      </c>
      <c r="H3" s="104">
        <v>20000.0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2"/>
      <c r="B4" s="41" t="s">
        <v>619</v>
      </c>
      <c r="C4" s="132">
        <v>2000.0</v>
      </c>
      <c r="D4" s="99" t="s">
        <v>34</v>
      </c>
      <c r="E4" s="5"/>
      <c r="F4" s="103">
        <v>45884.0</v>
      </c>
      <c r="G4" s="41" t="s">
        <v>412</v>
      </c>
      <c r="H4" s="104">
        <v>2000.0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2"/>
      <c r="B5" s="41" t="s">
        <v>152</v>
      </c>
      <c r="C5" s="132">
        <v>26.0</v>
      </c>
      <c r="D5" s="99" t="s">
        <v>40</v>
      </c>
      <c r="E5" s="5"/>
      <c r="F5" s="92"/>
      <c r="G5" s="41" t="s">
        <v>577</v>
      </c>
      <c r="H5" s="104">
        <v>3000.0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2"/>
      <c r="B6" s="41" t="s">
        <v>620</v>
      </c>
      <c r="C6" s="132">
        <v>3569.0</v>
      </c>
      <c r="D6" s="99" t="s">
        <v>621</v>
      </c>
      <c r="E6" s="5"/>
      <c r="F6" s="145"/>
      <c r="G6" s="5"/>
      <c r="H6" s="16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2"/>
      <c r="B7" s="41" t="s">
        <v>622</v>
      </c>
      <c r="C7" s="132">
        <v>2850.0</v>
      </c>
      <c r="D7" s="99" t="s">
        <v>467</v>
      </c>
      <c r="E7" s="5"/>
      <c r="F7" s="145"/>
      <c r="G7" s="5"/>
      <c r="H7" s="16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2"/>
      <c r="B8" s="41" t="s">
        <v>623</v>
      </c>
      <c r="C8" s="132">
        <v>140.0</v>
      </c>
      <c r="D8" s="99" t="s">
        <v>40</v>
      </c>
      <c r="E8" s="5"/>
      <c r="F8" s="145"/>
      <c r="G8" s="5"/>
      <c r="H8" s="16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2"/>
      <c r="B9" s="41" t="s">
        <v>148</v>
      </c>
      <c r="C9" s="132">
        <v>23.0</v>
      </c>
      <c r="D9" s="99" t="s">
        <v>40</v>
      </c>
      <c r="E9" s="5"/>
      <c r="F9" s="145"/>
      <c r="G9" s="5"/>
      <c r="H9" s="16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2"/>
      <c r="B10" s="41" t="s">
        <v>305</v>
      </c>
      <c r="C10" s="132">
        <v>77.0</v>
      </c>
      <c r="D10" s="99" t="s">
        <v>40</v>
      </c>
      <c r="E10" s="5"/>
      <c r="F10" s="145"/>
      <c r="G10" s="5"/>
      <c r="H10" s="16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8">
        <v>45869.0</v>
      </c>
      <c r="B11" s="41" t="s">
        <v>624</v>
      </c>
      <c r="C11" s="132">
        <v>148.0</v>
      </c>
      <c r="D11" s="99" t="s">
        <v>40</v>
      </c>
      <c r="E11" s="5"/>
      <c r="F11" s="145"/>
      <c r="G11" s="5"/>
      <c r="H11" s="16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B12" s="41" t="s">
        <v>152</v>
      </c>
      <c r="C12" s="132">
        <v>13.0</v>
      </c>
      <c r="D12" s="99" t="s">
        <v>40</v>
      </c>
      <c r="E12" s="5"/>
      <c r="F12" s="146"/>
      <c r="G12" s="147"/>
      <c r="H12" s="14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41" t="s">
        <v>151</v>
      </c>
      <c r="C13" s="132">
        <v>20.0</v>
      </c>
      <c r="D13" s="99" t="s">
        <v>40</v>
      </c>
      <c r="E13" s="5"/>
      <c r="F13" s="115" t="s">
        <v>49</v>
      </c>
      <c r="G13" s="116">
        <f>SUM(H2:H12)</f>
        <v>25046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41" t="s">
        <v>625</v>
      </c>
      <c r="C14" s="132">
        <v>-80.0</v>
      </c>
      <c r="D14" s="99" t="s">
        <v>40</v>
      </c>
      <c r="E14" s="5"/>
      <c r="F14" s="117" t="s">
        <v>51</v>
      </c>
      <c r="G14" s="118">
        <f>SUMIF(D2:D205, "&lt;&gt;Credit", C2:C513) + G15</f>
        <v>24613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41" t="s">
        <v>598</v>
      </c>
      <c r="C15" s="40">
        <f>105-27</f>
        <v>78</v>
      </c>
      <c r="D15" s="99" t="s">
        <v>40</v>
      </c>
      <c r="E15" s="5"/>
      <c r="F15" s="117" t="s">
        <v>53</v>
      </c>
      <c r="G15" s="119">
        <f>79+115</f>
        <v>194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B16" s="41" t="s">
        <v>626</v>
      </c>
      <c r="C16" s="132">
        <v>115.0</v>
      </c>
      <c r="D16" s="99" t="s">
        <v>48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B17" s="41" t="s">
        <v>37</v>
      </c>
      <c r="C17" s="132">
        <v>55.0</v>
      </c>
      <c r="D17" s="99" t="s">
        <v>40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8">
        <v>45870.0</v>
      </c>
      <c r="B18" s="41" t="s">
        <v>125</v>
      </c>
      <c r="C18" s="40">
        <f>273-68-68</f>
        <v>137</v>
      </c>
      <c r="D18" s="99" t="s">
        <v>40</v>
      </c>
      <c r="E18" s="5"/>
      <c r="F18" s="117" t="s">
        <v>500</v>
      </c>
      <c r="G18" s="121">
        <f>G13-G14-J32</f>
        <v>433</v>
      </c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B19" s="41" t="s">
        <v>627</v>
      </c>
      <c r="C19" s="40">
        <f>140-33-33-33</f>
        <v>41</v>
      </c>
      <c r="D19" s="99" t="s">
        <v>40</v>
      </c>
      <c r="E19" s="41"/>
      <c r="F19" s="117" t="s">
        <v>501</v>
      </c>
      <c r="G19" s="122">
        <f>G13-G14</f>
        <v>433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B20" s="41" t="s">
        <v>628</v>
      </c>
      <c r="C20" s="40">
        <f>93-20-18-19</f>
        <v>36</v>
      </c>
      <c r="D20" s="99" t="s">
        <v>40</v>
      </c>
      <c r="E20" s="4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B21" s="41" t="s">
        <v>629</v>
      </c>
      <c r="C21" s="40">
        <f>146-96</f>
        <v>50</v>
      </c>
      <c r="D21" s="99" t="s">
        <v>40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41" t="s">
        <v>289</v>
      </c>
      <c r="C22" s="132">
        <v>4100.0</v>
      </c>
      <c r="D22" s="99" t="s">
        <v>475</v>
      </c>
      <c r="E22" s="5"/>
      <c r="F22" s="124" t="s">
        <v>40</v>
      </c>
      <c r="G22" s="19">
        <v>5000.0</v>
      </c>
      <c r="H22" s="37">
        <f>SUMIF(D2:D128, "=Living expense",C2:C146)+G15</f>
        <v>4743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41" t="s">
        <v>333</v>
      </c>
      <c r="C23" s="132">
        <v>58.0</v>
      </c>
      <c r="D23" s="99" t="s">
        <v>40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8">
        <v>45871.0</v>
      </c>
      <c r="B24" s="41" t="s">
        <v>89</v>
      </c>
      <c r="C24" s="132">
        <v>15.0</v>
      </c>
      <c r="D24" s="99" t="s">
        <v>40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41" t="s">
        <v>136</v>
      </c>
      <c r="C25" s="132">
        <v>16.0</v>
      </c>
      <c r="D25" s="99" t="s">
        <v>40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B26" s="41" t="s">
        <v>585</v>
      </c>
      <c r="C26" s="132">
        <v>-68.0</v>
      </c>
      <c r="D26" s="99" t="s">
        <v>40</v>
      </c>
      <c r="E26" s="5"/>
      <c r="F26" s="149" t="s">
        <v>12</v>
      </c>
      <c r="G26" s="150">
        <v>3000.0</v>
      </c>
      <c r="H26" s="151">
        <f>SUMIF($D$2:$D$504, "=Gonsa",$C$2:$C$504)</f>
        <v>5000</v>
      </c>
      <c r="I26" s="117" t="b">
        <v>1</v>
      </c>
      <c r="J26" s="37">
        <f t="shared" ref="J26:J31" si="1">IF(I26=TRUE,0,MAX(G26-H26,0))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B27" s="41" t="s">
        <v>630</v>
      </c>
      <c r="C27" s="40">
        <f>89-32-33</f>
        <v>24</v>
      </c>
      <c r="D27" s="99" t="s">
        <v>40</v>
      </c>
      <c r="E27" s="41"/>
      <c r="F27" s="149" t="s">
        <v>475</v>
      </c>
      <c r="G27" s="150">
        <v>4000.0</v>
      </c>
      <c r="H27" s="151">
        <f>SUMIF($D$2:$D$504, "=Rent",$C$2:$C$504)</f>
        <v>4100</v>
      </c>
      <c r="I27" s="117" t="b">
        <v>1</v>
      </c>
      <c r="J27" s="37">
        <f t="shared" si="1"/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B28" s="41" t="s">
        <v>631</v>
      </c>
      <c r="C28" s="40">
        <f>82-13-24-24</f>
        <v>21</v>
      </c>
      <c r="D28" s="99" t="s">
        <v>40</v>
      </c>
      <c r="E28" s="41"/>
      <c r="F28" s="168" t="s">
        <v>101</v>
      </c>
      <c r="G28" s="19">
        <v>2000.0</v>
      </c>
      <c r="H28" s="151">
        <f>SUMIF($D$2:$D$504, "=Parent",$C$2:$C$504)</f>
        <v>3108</v>
      </c>
      <c r="I28" s="117" t="b">
        <v>1</v>
      </c>
      <c r="J28" s="37">
        <f t="shared" si="1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B29" s="41" t="s">
        <v>172</v>
      </c>
      <c r="C29" s="132">
        <v>40.0</v>
      </c>
      <c r="D29" s="99" t="s">
        <v>40</v>
      </c>
      <c r="E29" s="5"/>
      <c r="F29" s="168" t="s">
        <v>621</v>
      </c>
      <c r="G29" s="19">
        <v>3569.0</v>
      </c>
      <c r="H29" s="151">
        <f>SUMIF($D$2:$D$504, "=FE debt",$C$2:$C$504)</f>
        <v>3569</v>
      </c>
      <c r="I29" s="117" t="b">
        <v>1</v>
      </c>
      <c r="J29" s="37">
        <f t="shared" si="1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B30" s="41" t="s">
        <v>221</v>
      </c>
      <c r="C30" s="132">
        <v>38.0</v>
      </c>
      <c r="D30" s="99" t="s">
        <v>40</v>
      </c>
      <c r="E30" s="5"/>
      <c r="F30" s="168" t="s">
        <v>468</v>
      </c>
      <c r="G30" s="19">
        <v>1000.0</v>
      </c>
      <c r="H30" s="151">
        <f>SUMIF($D$2:$D$504, "=Khang debt",$C$2:$C$504)</f>
        <v>1000</v>
      </c>
      <c r="I30" s="117" t="b">
        <v>1</v>
      </c>
      <c r="J30" s="37">
        <f t="shared" si="1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41" t="s">
        <v>632</v>
      </c>
      <c r="C31" s="132">
        <v>-1000.0</v>
      </c>
      <c r="D31" s="99" t="s">
        <v>34</v>
      </c>
      <c r="E31" s="5"/>
      <c r="F31" s="168" t="s">
        <v>467</v>
      </c>
      <c r="G31" s="19">
        <f>2850+243</f>
        <v>3093</v>
      </c>
      <c r="H31" s="151">
        <f>SUMIF($D$2:$D$504, "=Credit debt",$C$2:$C$504)</f>
        <v>3093</v>
      </c>
      <c r="I31" s="117" t="b">
        <v>1</v>
      </c>
      <c r="J31" s="37">
        <f t="shared" si="1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8">
        <v>45872.0</v>
      </c>
      <c r="B32" s="41" t="s">
        <v>120</v>
      </c>
      <c r="C32" s="132">
        <v>26.0</v>
      </c>
      <c r="D32" s="99" t="s">
        <v>40</v>
      </c>
      <c r="E32" s="5"/>
      <c r="F32" s="168" t="s">
        <v>73</v>
      </c>
      <c r="G32" s="39">
        <f>SUM(G25:G31)</f>
        <v>16662</v>
      </c>
      <c r="H32" s="39">
        <f>SUM(H25:H28)</f>
        <v>12208</v>
      </c>
      <c r="I32" s="117"/>
      <c r="J32" s="39">
        <f>SUM(J26:J31)</f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B33" s="41" t="s">
        <v>93</v>
      </c>
      <c r="C33" s="132">
        <v>111.0</v>
      </c>
      <c r="D33" s="99" t="s">
        <v>40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B34" s="41" t="s">
        <v>633</v>
      </c>
      <c r="C34" s="132">
        <v>2000.0</v>
      </c>
      <c r="D34" s="99" t="s">
        <v>101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8">
        <v>45873.0</v>
      </c>
      <c r="B35" s="41" t="s">
        <v>430</v>
      </c>
      <c r="C35" s="132">
        <v>272.0</v>
      </c>
      <c r="D35" s="99" t="s">
        <v>101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B36" s="41" t="s">
        <v>395</v>
      </c>
      <c r="C36" s="40">
        <f>99-34-34</f>
        <v>31</v>
      </c>
      <c r="D36" s="99" t="s">
        <v>40</v>
      </c>
      <c r="E36" s="4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B37" s="41" t="s">
        <v>152</v>
      </c>
      <c r="C37" s="132">
        <v>23.0</v>
      </c>
      <c r="D37" s="99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98">
        <v>45874.0</v>
      </c>
      <c r="B38" s="41" t="s">
        <v>152</v>
      </c>
      <c r="C38" s="132">
        <v>13.0</v>
      </c>
      <c r="D38" s="99" t="s">
        <v>40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B39" s="41" t="s">
        <v>120</v>
      </c>
      <c r="C39" s="132">
        <v>23.0</v>
      </c>
      <c r="D39" s="99" t="s">
        <v>40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B40" s="41" t="s">
        <v>93</v>
      </c>
      <c r="C40" s="132">
        <v>25.0</v>
      </c>
      <c r="D40" s="99" t="s">
        <v>40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8">
        <v>45875.0</v>
      </c>
      <c r="B41" s="41" t="s">
        <v>156</v>
      </c>
      <c r="C41" s="132">
        <v>26.0</v>
      </c>
      <c r="D41" s="99" t="s">
        <v>40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B42" s="41" t="s">
        <v>634</v>
      </c>
      <c r="C42" s="132">
        <v>300.0</v>
      </c>
      <c r="D42" s="99" t="s">
        <v>40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41" t="s">
        <v>93</v>
      </c>
      <c r="C43" s="132">
        <v>53.0</v>
      </c>
      <c r="D43" s="99" t="s">
        <v>40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8">
        <v>45876.0</v>
      </c>
      <c r="B44" s="41" t="s">
        <v>120</v>
      </c>
      <c r="C44" s="132">
        <v>18.0</v>
      </c>
      <c r="D44" s="99" t="s">
        <v>40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B45" s="41" t="s">
        <v>395</v>
      </c>
      <c r="C45" s="132">
        <f>159-37-42-37</f>
        <v>43</v>
      </c>
      <c r="D45" s="99" t="s">
        <v>40</v>
      </c>
      <c r="E45" s="4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B46" s="41" t="s">
        <v>117</v>
      </c>
      <c r="C46" s="132">
        <v>519.0</v>
      </c>
      <c r="D46" s="99" t="s">
        <v>48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B47" s="41" t="s">
        <v>93</v>
      </c>
      <c r="C47" s="132">
        <v>53.0</v>
      </c>
      <c r="D47" s="99" t="s">
        <v>40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8">
        <v>45877.0</v>
      </c>
      <c r="B48" s="41" t="s">
        <v>340</v>
      </c>
      <c r="C48" s="132">
        <v>40.0</v>
      </c>
      <c r="D48" s="99" t="s">
        <v>40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B49" s="41" t="s">
        <v>635</v>
      </c>
      <c r="C49" s="40">
        <f>247-20-46-59-44-47</f>
        <v>31</v>
      </c>
      <c r="D49" s="99" t="s">
        <v>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B50" s="41" t="s">
        <v>356</v>
      </c>
      <c r="C50" s="132">
        <v>108.0</v>
      </c>
      <c r="D50" s="99" t="s">
        <v>48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B51" s="41" t="s">
        <v>127</v>
      </c>
      <c r="C51" s="132">
        <v>38.0</v>
      </c>
      <c r="D51" s="99" t="s">
        <v>40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98">
        <v>45878.0</v>
      </c>
      <c r="B52" s="41" t="s">
        <v>89</v>
      </c>
      <c r="C52" s="132">
        <v>15.0</v>
      </c>
      <c r="D52" s="99" t="s">
        <v>40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B53" s="41" t="s">
        <v>635</v>
      </c>
      <c r="C53" s="40">
        <f>194-71-54</f>
        <v>69</v>
      </c>
      <c r="D53" s="99" t="s">
        <v>40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B54" s="41" t="s">
        <v>636</v>
      </c>
      <c r="C54" s="132">
        <v>-5.0</v>
      </c>
      <c r="D54" s="99" t="s">
        <v>40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41" t="s">
        <v>140</v>
      </c>
      <c r="C55" s="132">
        <v>229.0</v>
      </c>
      <c r="D55" s="99" t="s">
        <v>48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B56" s="41" t="s">
        <v>637</v>
      </c>
      <c r="C56" s="132">
        <v>368.0</v>
      </c>
      <c r="D56" s="99" t="s">
        <v>48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98">
        <v>45879.0</v>
      </c>
      <c r="B57" s="41" t="s">
        <v>173</v>
      </c>
      <c r="C57" s="132">
        <v>178.0</v>
      </c>
      <c r="D57" s="99" t="s">
        <v>40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B58" s="41" t="s">
        <v>91</v>
      </c>
      <c r="C58" s="132">
        <v>30.0</v>
      </c>
      <c r="D58" s="99" t="s">
        <v>40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B59" s="41" t="s">
        <v>148</v>
      </c>
      <c r="C59" s="132">
        <v>48.0</v>
      </c>
      <c r="D59" s="99" t="s">
        <v>40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B60" s="41" t="s">
        <v>93</v>
      </c>
      <c r="C60" s="132">
        <v>61.0</v>
      </c>
      <c r="D60" s="99" t="s">
        <v>40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8">
        <v>45880.0</v>
      </c>
      <c r="B61" s="41" t="s">
        <v>156</v>
      </c>
      <c r="C61" s="132">
        <v>26.0</v>
      </c>
      <c r="D61" s="99" t="s">
        <v>40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B62" s="41" t="s">
        <v>395</v>
      </c>
      <c r="C62" s="40">
        <f>114-30-35</f>
        <v>49</v>
      </c>
      <c r="D62" s="99" t="s">
        <v>40</v>
      </c>
      <c r="E62" s="4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B63" s="41" t="s">
        <v>353</v>
      </c>
      <c r="C63" s="132">
        <v>30.0</v>
      </c>
      <c r="D63" s="99" t="s">
        <v>40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98">
        <v>45881.0</v>
      </c>
      <c r="B64" s="41" t="s">
        <v>152</v>
      </c>
      <c r="C64" s="132">
        <v>11.0</v>
      </c>
      <c r="D64" s="99" t="s">
        <v>40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B65" s="41" t="s">
        <v>116</v>
      </c>
      <c r="C65" s="40">
        <f>115-30-30</f>
        <v>55</v>
      </c>
      <c r="D65" s="99" t="s">
        <v>40</v>
      </c>
      <c r="E65" s="4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B66" s="41" t="s">
        <v>93</v>
      </c>
      <c r="C66" s="132">
        <v>76.0</v>
      </c>
      <c r="D66" s="99" t="s">
        <v>40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98">
        <v>45882.0</v>
      </c>
      <c r="B67" s="41" t="s">
        <v>11</v>
      </c>
      <c r="C67" s="132">
        <v>54.0</v>
      </c>
      <c r="D67" s="99" t="s">
        <v>40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B68" s="41" t="s">
        <v>93</v>
      </c>
      <c r="C68" s="132">
        <v>40.0</v>
      </c>
      <c r="D68" s="99" t="s">
        <v>40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B69" s="41" t="s">
        <v>152</v>
      </c>
      <c r="C69" s="132">
        <v>11.0</v>
      </c>
      <c r="D69" s="99" t="s">
        <v>40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98">
        <v>45883.0</v>
      </c>
      <c r="B70" s="41" t="s">
        <v>152</v>
      </c>
      <c r="C70" s="132">
        <v>14.0</v>
      </c>
      <c r="D70" s="99" t="s">
        <v>40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41" t="s">
        <v>93</v>
      </c>
      <c r="C71" s="132">
        <v>40.0</v>
      </c>
      <c r="D71" s="99" t="s">
        <v>40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B72" s="41" t="s">
        <v>148</v>
      </c>
      <c r="C72" s="132">
        <v>63.0</v>
      </c>
      <c r="D72" s="99" t="s">
        <v>40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98">
        <v>45884.0</v>
      </c>
      <c r="B73" s="41" t="s">
        <v>638</v>
      </c>
      <c r="C73" s="132">
        <v>5000.0</v>
      </c>
      <c r="D73" s="99" t="s">
        <v>12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41" t="s">
        <v>632</v>
      </c>
      <c r="C74" s="132">
        <v>-1000.0</v>
      </c>
      <c r="D74" s="99" t="s">
        <v>34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B75" s="41" t="s">
        <v>635</v>
      </c>
      <c r="C75" s="40">
        <f>94+55-46-52</f>
        <v>51</v>
      </c>
      <c r="D75" s="99" t="s">
        <v>40</v>
      </c>
      <c r="E75" s="4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41" t="s">
        <v>93</v>
      </c>
      <c r="C76" s="132">
        <v>56.0</v>
      </c>
      <c r="D76" s="99" t="s">
        <v>40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B77" s="41" t="s">
        <v>639</v>
      </c>
      <c r="C77" s="132">
        <v>149.0</v>
      </c>
      <c r="D77" s="99" t="s">
        <v>48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98">
        <v>45885.0</v>
      </c>
      <c r="B78" s="41" t="s">
        <v>50</v>
      </c>
      <c r="C78" s="40">
        <f>28+18</f>
        <v>46</v>
      </c>
      <c r="D78" s="99" t="s">
        <v>40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B79" s="41" t="s">
        <v>152</v>
      </c>
      <c r="C79" s="132">
        <v>18.0</v>
      </c>
      <c r="D79" s="99" t="s">
        <v>40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B80" s="41" t="s">
        <v>384</v>
      </c>
      <c r="C80" s="132">
        <v>835.0</v>
      </c>
      <c r="D80" s="99" t="s">
        <v>48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B81" s="41" t="s">
        <v>80</v>
      </c>
      <c r="C81" s="132">
        <v>70.0</v>
      </c>
      <c r="D81" s="99" t="s">
        <v>40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98">
        <v>45886.0</v>
      </c>
      <c r="B82" s="41" t="s">
        <v>318</v>
      </c>
      <c r="C82" s="132">
        <v>25.0</v>
      </c>
      <c r="D82" s="99" t="s">
        <v>40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B83" s="41" t="s">
        <v>50</v>
      </c>
      <c r="C83" s="132">
        <v>30.0</v>
      </c>
      <c r="D83" s="99" t="s">
        <v>40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41" t="s">
        <v>221</v>
      </c>
      <c r="C84" s="132">
        <v>38.0</v>
      </c>
      <c r="D84" s="99" t="s">
        <v>40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B85" s="41" t="s">
        <v>140</v>
      </c>
      <c r="C85" s="132">
        <v>150.0</v>
      </c>
      <c r="D85" s="99" t="s">
        <v>40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98">
        <v>45887.0</v>
      </c>
      <c r="B86" s="41" t="s">
        <v>152</v>
      </c>
      <c r="C86" s="132">
        <v>14.0</v>
      </c>
      <c r="D86" s="99" t="s">
        <v>40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B87" s="41" t="s">
        <v>395</v>
      </c>
      <c r="C87" s="40">
        <f>110-35-35</f>
        <v>40</v>
      </c>
      <c r="D87" s="99" t="s">
        <v>40</v>
      </c>
      <c r="E87" s="4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B88" s="41" t="s">
        <v>216</v>
      </c>
      <c r="C88" s="132">
        <v>55.0</v>
      </c>
      <c r="D88" s="99" t="s">
        <v>40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B89" s="41" t="s">
        <v>353</v>
      </c>
      <c r="C89" s="132">
        <v>30.0</v>
      </c>
      <c r="D89" s="99" t="s">
        <v>40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B90" s="41" t="s">
        <v>384</v>
      </c>
      <c r="C90" s="132">
        <v>537.0</v>
      </c>
      <c r="D90" s="99" t="s">
        <v>48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98">
        <v>45888.0</v>
      </c>
      <c r="B91" s="41" t="s">
        <v>152</v>
      </c>
      <c r="C91" s="132">
        <v>62.0</v>
      </c>
      <c r="D91" s="99" t="s">
        <v>40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41" t="s">
        <v>93</v>
      </c>
      <c r="C92" s="132">
        <v>30.0</v>
      </c>
      <c r="D92" s="99" t="s">
        <v>40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B93" s="41" t="s">
        <v>608</v>
      </c>
      <c r="C93" s="132">
        <v>36.0</v>
      </c>
      <c r="D93" s="99" t="s">
        <v>101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98">
        <v>45889.0</v>
      </c>
      <c r="B94" s="41" t="s">
        <v>640</v>
      </c>
      <c r="C94" s="132">
        <v>123.0</v>
      </c>
      <c r="D94" s="99" t="s">
        <v>48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B95" s="41" t="s">
        <v>641</v>
      </c>
      <c r="C95" s="132">
        <v>35.0</v>
      </c>
      <c r="D95" s="99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B96" s="41" t="s">
        <v>642</v>
      </c>
      <c r="C96" s="132">
        <v>14.0</v>
      </c>
      <c r="D96" s="99" t="s">
        <v>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B97" s="41" t="s">
        <v>50</v>
      </c>
      <c r="C97" s="132">
        <v>40.0</v>
      </c>
      <c r="D97" s="99" t="s">
        <v>40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B98" s="41" t="s">
        <v>93</v>
      </c>
      <c r="C98" s="132">
        <v>30.0</v>
      </c>
      <c r="D98" s="99" t="s">
        <v>40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B99" s="41" t="s">
        <v>514</v>
      </c>
      <c r="C99" s="40">
        <f>172+39</f>
        <v>211</v>
      </c>
      <c r="D99" s="99" t="s">
        <v>40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98">
        <v>45890.0</v>
      </c>
      <c r="B100" s="41" t="s">
        <v>152</v>
      </c>
      <c r="C100" s="132">
        <v>22.0</v>
      </c>
      <c r="D100" s="99" t="s">
        <v>40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B101" s="41" t="s">
        <v>395</v>
      </c>
      <c r="C101" s="40">
        <f>172-120</f>
        <v>52</v>
      </c>
      <c r="D101" s="99" t="s">
        <v>40</v>
      </c>
      <c r="E101" s="4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B102" s="41" t="s">
        <v>148</v>
      </c>
      <c r="C102" s="132">
        <v>28.0</v>
      </c>
      <c r="D102" s="99" t="s">
        <v>40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98">
        <v>45891.0</v>
      </c>
      <c r="B103" s="41" t="s">
        <v>89</v>
      </c>
      <c r="C103" s="132">
        <v>15.0</v>
      </c>
      <c r="D103" s="99" t="s">
        <v>40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B104" s="41" t="s">
        <v>487</v>
      </c>
      <c r="C104" s="132">
        <v>50.0</v>
      </c>
      <c r="D104" s="99" t="s">
        <v>40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B105" s="41" t="s">
        <v>643</v>
      </c>
      <c r="C105" s="40">
        <f>137+112-55-49-51-49</f>
        <v>45</v>
      </c>
      <c r="D105" s="99" t="s">
        <v>40</v>
      </c>
      <c r="E105" s="4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98">
        <v>45892.0</v>
      </c>
      <c r="B106" s="41" t="s">
        <v>50</v>
      </c>
      <c r="C106" s="132">
        <v>32.0</v>
      </c>
      <c r="D106" s="99" t="s">
        <v>40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B107" s="41" t="s">
        <v>152</v>
      </c>
      <c r="C107" s="132">
        <v>14.0</v>
      </c>
      <c r="D107" s="99" t="s">
        <v>40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B108" s="41" t="s">
        <v>93</v>
      </c>
      <c r="C108" s="132">
        <v>51.0</v>
      </c>
      <c r="D108" s="99" t="s">
        <v>40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B109" s="41" t="s">
        <v>41</v>
      </c>
      <c r="C109" s="132">
        <v>800.0</v>
      </c>
      <c r="D109" s="99" t="s">
        <v>101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98">
        <v>45893.0</v>
      </c>
      <c r="B110" s="41" t="s">
        <v>89</v>
      </c>
      <c r="C110" s="132">
        <v>15.0</v>
      </c>
      <c r="D110" s="99" t="s">
        <v>40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B111" s="41" t="s">
        <v>644</v>
      </c>
      <c r="C111" s="132">
        <v>1048.0</v>
      </c>
      <c r="D111" s="99" t="s">
        <v>48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41" t="s">
        <v>645</v>
      </c>
      <c r="C112" s="132">
        <v>-400.0</v>
      </c>
      <c r="D112" s="99" t="s">
        <v>40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B113" s="41" t="s">
        <v>646</v>
      </c>
      <c r="C113" s="40">
        <f>230+100</f>
        <v>330</v>
      </c>
      <c r="D113" s="99" t="s">
        <v>40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B114" s="41" t="s">
        <v>647</v>
      </c>
      <c r="C114" s="132">
        <v>-150.0</v>
      </c>
      <c r="D114" s="99" t="s">
        <v>40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B115" s="41" t="s">
        <v>648</v>
      </c>
      <c r="C115" s="132">
        <v>158.0</v>
      </c>
      <c r="D115" s="99" t="s">
        <v>40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B116" s="41" t="s">
        <v>649</v>
      </c>
      <c r="C116" s="132">
        <v>61.0</v>
      </c>
      <c r="D116" s="99" t="s">
        <v>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98">
        <v>45894.0</v>
      </c>
      <c r="B117" s="41" t="s">
        <v>650</v>
      </c>
      <c r="C117" s="132">
        <v>150.0</v>
      </c>
      <c r="D117" s="99" t="s">
        <v>40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B118" s="41" t="s">
        <v>50</v>
      </c>
      <c r="C118" s="132">
        <v>30.0</v>
      </c>
      <c r="D118" s="99" t="s">
        <v>40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B119" s="41" t="s">
        <v>651</v>
      </c>
      <c r="C119" s="132">
        <v>25.0</v>
      </c>
      <c r="D119" s="99" t="s">
        <v>40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B120" s="41" t="s">
        <v>93</v>
      </c>
      <c r="C120" s="132">
        <f>98-50</f>
        <v>48</v>
      </c>
      <c r="D120" s="99" t="s">
        <v>40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B121" s="41" t="s">
        <v>37</v>
      </c>
      <c r="C121" s="132">
        <v>50.0</v>
      </c>
      <c r="D121" s="99" t="s">
        <v>40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98">
        <v>45895.0</v>
      </c>
      <c r="B122" s="41" t="s">
        <v>152</v>
      </c>
      <c r="C122" s="132">
        <v>22.0</v>
      </c>
      <c r="D122" s="99" t="s">
        <v>40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B123" s="41" t="s">
        <v>93</v>
      </c>
      <c r="C123" s="132">
        <v>98.0</v>
      </c>
      <c r="D123" s="99" t="s">
        <v>40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98">
        <v>45896.0</v>
      </c>
      <c r="B124" s="41" t="s">
        <v>152</v>
      </c>
      <c r="C124" s="132">
        <v>22.0</v>
      </c>
      <c r="D124" s="99" t="s">
        <v>40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B125" s="41" t="s">
        <v>601</v>
      </c>
      <c r="C125" s="132">
        <v>30.0</v>
      </c>
      <c r="D125" s="99" t="s">
        <v>40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B126" s="41" t="s">
        <v>623</v>
      </c>
      <c r="C126" s="132">
        <v>79.0</v>
      </c>
      <c r="D126" s="99" t="s">
        <v>40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40"/>
      <c r="D127" s="99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40"/>
      <c r="D128" s="99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40"/>
      <c r="D129" s="99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40"/>
      <c r="D130" s="99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40"/>
      <c r="D131" s="99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40"/>
      <c r="D132" s="99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40"/>
      <c r="D133" s="99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40"/>
      <c r="D134" s="99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40"/>
      <c r="D135" s="99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40"/>
      <c r="D136" s="99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40"/>
      <c r="D137" s="99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40"/>
      <c r="D138" s="99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40"/>
      <c r="D139" s="99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40"/>
      <c r="D140" s="99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40"/>
      <c r="D141" s="99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40"/>
      <c r="D142" s="42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40"/>
      <c r="D143" s="42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40"/>
      <c r="D144" s="42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40"/>
      <c r="D145" s="4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40"/>
      <c r="D146" s="4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40"/>
      <c r="D147" s="42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40"/>
      <c r="D148" s="42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40"/>
      <c r="D149" s="42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40"/>
      <c r="D150" s="4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40"/>
      <c r="D151" s="4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40"/>
      <c r="D152" s="42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40"/>
      <c r="D153" s="4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40"/>
      <c r="D154" s="4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40"/>
      <c r="D155" s="4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40"/>
      <c r="D156" s="4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40"/>
      <c r="D157" s="4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40"/>
      <c r="D158" s="4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40"/>
      <c r="D159" s="4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40"/>
      <c r="D160" s="4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40"/>
      <c r="D161" s="4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40"/>
      <c r="D162" s="4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40"/>
      <c r="D163" s="4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40"/>
      <c r="D164" s="4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40"/>
      <c r="D165" s="4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40"/>
      <c r="D166" s="4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40"/>
      <c r="D167" s="4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40"/>
      <c r="D168" s="4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40"/>
      <c r="D169" s="4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40"/>
      <c r="D170" s="4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40"/>
      <c r="D171" s="4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40"/>
      <c r="D172" s="4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40"/>
      <c r="D173" s="4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40"/>
      <c r="D174" s="4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40"/>
      <c r="D175" s="4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40"/>
      <c r="D176" s="4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40"/>
      <c r="D177" s="4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40"/>
      <c r="D178" s="4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40"/>
      <c r="D179" s="4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40"/>
      <c r="D180" s="4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40"/>
      <c r="D181" s="4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40"/>
      <c r="D182" s="4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40"/>
      <c r="D183" s="4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40"/>
      <c r="D184" s="4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40"/>
      <c r="D185" s="4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40"/>
      <c r="D186" s="4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40"/>
      <c r="D187" s="4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40"/>
      <c r="D188" s="4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40"/>
      <c r="D189" s="4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40"/>
      <c r="D190" s="4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40"/>
      <c r="D191" s="4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40"/>
      <c r="D192" s="4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40"/>
      <c r="D193" s="4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40"/>
      <c r="D194" s="4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40"/>
      <c r="D195" s="4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40"/>
      <c r="D196" s="4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40"/>
      <c r="D197" s="4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40"/>
      <c r="D198" s="4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40"/>
      <c r="D199" s="4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40"/>
      <c r="D200" s="4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40"/>
      <c r="D201" s="4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40"/>
      <c r="D202" s="4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40"/>
      <c r="D203" s="4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40"/>
      <c r="D204" s="4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40"/>
      <c r="D205" s="4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40"/>
      <c r="D206" s="4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40"/>
      <c r="D207" s="4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40"/>
      <c r="D208" s="4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40"/>
      <c r="D209" s="4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40"/>
      <c r="D210" s="4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40"/>
      <c r="D211" s="4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40"/>
      <c r="D212" s="4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40"/>
      <c r="D213" s="4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40"/>
      <c r="D214" s="4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40"/>
      <c r="D215" s="4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40"/>
      <c r="D216" s="4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40"/>
      <c r="D217" s="4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40"/>
      <c r="D218" s="4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40"/>
      <c r="D219" s="4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40"/>
      <c r="D220" s="4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40"/>
      <c r="D221" s="4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40"/>
      <c r="D222" s="4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40"/>
      <c r="D223" s="4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40"/>
      <c r="D224" s="4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40"/>
      <c r="D225" s="4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40"/>
      <c r="D226" s="4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40"/>
      <c r="D227" s="4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40"/>
      <c r="D228" s="4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40"/>
      <c r="D229" s="4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40"/>
      <c r="D230" s="4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40"/>
      <c r="D231" s="4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40"/>
      <c r="D232" s="4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40"/>
      <c r="D233" s="4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40"/>
      <c r="D234" s="4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40"/>
      <c r="D235" s="4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40"/>
      <c r="D236" s="4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40"/>
      <c r="D237" s="4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40"/>
      <c r="D238" s="4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40"/>
      <c r="D239" s="4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40"/>
      <c r="D240" s="4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40"/>
      <c r="D241" s="4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40"/>
      <c r="D242" s="4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40"/>
      <c r="D243" s="4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40"/>
      <c r="D244" s="4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40"/>
      <c r="D245" s="4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40"/>
      <c r="D246" s="4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40"/>
      <c r="D247" s="4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40"/>
      <c r="D248" s="4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40"/>
      <c r="D249" s="4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40"/>
      <c r="D250" s="4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40"/>
      <c r="D251" s="4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40"/>
      <c r="D252" s="4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40"/>
      <c r="D253" s="4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40"/>
      <c r="D254" s="4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40"/>
      <c r="D255" s="4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40"/>
      <c r="D256" s="4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40"/>
      <c r="D257" s="4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40"/>
      <c r="D258" s="4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40"/>
      <c r="D259" s="4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40"/>
      <c r="D260" s="4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40"/>
      <c r="D261" s="4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40"/>
      <c r="D262" s="4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40"/>
      <c r="D263" s="4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40"/>
      <c r="D264" s="4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40"/>
      <c r="D265" s="4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40"/>
      <c r="D266" s="4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40"/>
      <c r="D267" s="4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40"/>
      <c r="D268" s="4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40"/>
      <c r="D269" s="4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40"/>
      <c r="D270" s="4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40"/>
      <c r="D271" s="4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40"/>
      <c r="D272" s="4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40"/>
      <c r="D273" s="4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40"/>
      <c r="D274" s="4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40"/>
      <c r="D275" s="4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40"/>
      <c r="D276" s="4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40"/>
      <c r="D277" s="4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40"/>
      <c r="D278" s="4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40"/>
      <c r="D279" s="4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40"/>
      <c r="D280" s="4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40"/>
      <c r="D281" s="4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40"/>
      <c r="D282" s="4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40"/>
      <c r="D283" s="4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40"/>
      <c r="D284" s="4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40"/>
      <c r="D285" s="4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40"/>
      <c r="D286" s="4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40"/>
      <c r="D287" s="4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40"/>
      <c r="D288" s="4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40"/>
      <c r="D289" s="4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40"/>
      <c r="D290" s="4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40"/>
      <c r="D291" s="4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40"/>
      <c r="D292" s="4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40"/>
      <c r="D293" s="4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40"/>
      <c r="D294" s="4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40"/>
      <c r="D295" s="4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40"/>
      <c r="D296" s="4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40"/>
      <c r="D297" s="4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40"/>
      <c r="D298" s="4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40"/>
      <c r="D299" s="4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40"/>
      <c r="D300" s="4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40"/>
      <c r="D301" s="4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40"/>
      <c r="D302" s="4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40"/>
      <c r="D303" s="4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40"/>
      <c r="D304" s="4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40"/>
      <c r="D305" s="4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40"/>
      <c r="D306" s="4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40"/>
      <c r="D307" s="4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40"/>
      <c r="D308" s="4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40"/>
      <c r="D309" s="4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40"/>
      <c r="D310" s="4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40"/>
      <c r="D311" s="4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40"/>
      <c r="D312" s="4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40"/>
      <c r="D313" s="4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40"/>
      <c r="D314" s="4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40"/>
      <c r="D315" s="4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40"/>
      <c r="D316" s="4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40"/>
      <c r="D317" s="4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40"/>
      <c r="D318" s="4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40"/>
      <c r="D319" s="4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40"/>
      <c r="D320" s="4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40"/>
      <c r="D321" s="4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40"/>
      <c r="D322" s="4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40"/>
      <c r="D323" s="4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40"/>
      <c r="D324" s="4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40"/>
      <c r="D325" s="4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40"/>
      <c r="D326" s="4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40"/>
      <c r="D327" s="4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40"/>
      <c r="D328" s="4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40"/>
      <c r="D329" s="4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40"/>
      <c r="D330" s="4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40"/>
      <c r="D331" s="4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40"/>
      <c r="D332" s="4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40"/>
      <c r="D333" s="4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40"/>
      <c r="D334" s="4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40"/>
      <c r="D335" s="4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40"/>
      <c r="D336" s="4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40"/>
      <c r="D337" s="4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40"/>
      <c r="D338" s="4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40"/>
      <c r="D339" s="4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40"/>
      <c r="D340" s="4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40"/>
      <c r="D341" s="4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40"/>
      <c r="D342" s="4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40"/>
      <c r="D343" s="4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40"/>
      <c r="D344" s="4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40"/>
      <c r="D345" s="4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40"/>
      <c r="D346" s="4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40"/>
      <c r="D347" s="4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40"/>
      <c r="D348" s="4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40"/>
      <c r="D349" s="4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40"/>
      <c r="D350" s="4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40"/>
      <c r="D351" s="4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40"/>
      <c r="D352" s="4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40"/>
      <c r="D353" s="4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40"/>
      <c r="D354" s="4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40"/>
      <c r="D355" s="4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40"/>
      <c r="D356" s="4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40"/>
      <c r="D357" s="4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40"/>
      <c r="D358" s="4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40"/>
      <c r="D359" s="4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40"/>
      <c r="D360" s="4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40"/>
      <c r="D361" s="4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40"/>
      <c r="D362" s="4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40"/>
      <c r="D363" s="4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40"/>
      <c r="D364" s="4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40"/>
      <c r="D365" s="4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40"/>
      <c r="D366" s="4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40"/>
      <c r="D367" s="4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40"/>
      <c r="D368" s="4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40"/>
      <c r="D369" s="4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40"/>
      <c r="D370" s="4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40"/>
      <c r="D371" s="4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40"/>
      <c r="D372" s="4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40"/>
      <c r="D373" s="4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40"/>
      <c r="D374" s="4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40"/>
      <c r="D375" s="4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40"/>
      <c r="D376" s="4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40"/>
      <c r="D377" s="4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40"/>
      <c r="D378" s="4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40"/>
      <c r="D379" s="4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40"/>
      <c r="D380" s="4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40"/>
      <c r="D381" s="4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40"/>
      <c r="D382" s="4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40"/>
      <c r="D383" s="4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40"/>
      <c r="D384" s="4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40"/>
      <c r="D385" s="4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40"/>
      <c r="D386" s="4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40"/>
      <c r="D387" s="4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40"/>
      <c r="D388" s="4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40"/>
      <c r="D389" s="4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40"/>
      <c r="D390" s="4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40"/>
      <c r="D391" s="4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40"/>
      <c r="D392" s="4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40"/>
      <c r="D393" s="4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40"/>
      <c r="D394" s="4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40"/>
      <c r="D395" s="4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40"/>
      <c r="D396" s="4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40"/>
      <c r="D397" s="4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40"/>
      <c r="D398" s="4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40"/>
      <c r="D399" s="4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40"/>
      <c r="D400" s="4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40"/>
      <c r="D401" s="4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40"/>
      <c r="D402" s="4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40"/>
      <c r="D403" s="4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40"/>
      <c r="D404" s="4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40"/>
      <c r="D405" s="4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40"/>
      <c r="D406" s="4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40"/>
      <c r="D407" s="4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40"/>
      <c r="D408" s="4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40"/>
      <c r="D409" s="4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40"/>
      <c r="D410" s="4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40"/>
      <c r="D411" s="4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40"/>
      <c r="D412" s="4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40"/>
      <c r="D413" s="4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40"/>
      <c r="D414" s="4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40"/>
      <c r="D415" s="4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40"/>
      <c r="D416" s="4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40"/>
      <c r="D417" s="4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40"/>
      <c r="D418" s="4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40"/>
      <c r="D419" s="4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40"/>
      <c r="D420" s="4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40"/>
      <c r="D421" s="4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40"/>
      <c r="D422" s="4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40"/>
      <c r="D423" s="4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40"/>
      <c r="D424" s="4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40"/>
      <c r="D425" s="4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40"/>
      <c r="D426" s="4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40"/>
      <c r="D427" s="4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40"/>
      <c r="D428" s="4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40"/>
      <c r="D429" s="4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40"/>
      <c r="D430" s="4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40"/>
      <c r="D431" s="4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40"/>
      <c r="D432" s="4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40"/>
      <c r="D433" s="4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40"/>
      <c r="D434" s="4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40"/>
      <c r="D435" s="4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40"/>
      <c r="D436" s="4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40"/>
      <c r="D437" s="4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40"/>
      <c r="D438" s="4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40"/>
      <c r="D439" s="4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40"/>
      <c r="D440" s="4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40"/>
      <c r="D441" s="4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40"/>
      <c r="D442" s="4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40"/>
      <c r="D443" s="4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40"/>
      <c r="D444" s="4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40"/>
      <c r="D445" s="4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40"/>
      <c r="D446" s="4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40"/>
      <c r="D447" s="4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40"/>
      <c r="D448" s="4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40"/>
      <c r="D449" s="4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40"/>
      <c r="D450" s="4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40"/>
      <c r="D451" s="4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40"/>
      <c r="D452" s="4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40"/>
      <c r="D453" s="4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40"/>
      <c r="D454" s="4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40"/>
      <c r="D455" s="4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40"/>
      <c r="D456" s="4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40"/>
      <c r="D457" s="4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40"/>
      <c r="D458" s="4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40"/>
      <c r="D459" s="4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40"/>
      <c r="D460" s="4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40"/>
      <c r="D461" s="4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40"/>
      <c r="D462" s="4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40"/>
      <c r="D463" s="4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40"/>
      <c r="D464" s="4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40"/>
      <c r="D465" s="4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40"/>
      <c r="D466" s="4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40"/>
      <c r="D467" s="4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40"/>
      <c r="D468" s="4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40"/>
      <c r="D469" s="4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40"/>
      <c r="D470" s="4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40"/>
      <c r="D471" s="4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40"/>
      <c r="D472" s="4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40"/>
      <c r="D473" s="4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40"/>
      <c r="D474" s="4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40"/>
      <c r="D475" s="4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40"/>
      <c r="D476" s="4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40"/>
      <c r="D477" s="4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40"/>
      <c r="D478" s="4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40"/>
      <c r="D479" s="4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40"/>
      <c r="D480" s="4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40"/>
      <c r="D481" s="4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40"/>
      <c r="D482" s="4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40"/>
      <c r="D483" s="4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40"/>
      <c r="D484" s="4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40"/>
      <c r="D485" s="4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40"/>
      <c r="D486" s="4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40"/>
      <c r="D487" s="4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40"/>
      <c r="D488" s="4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40"/>
      <c r="D489" s="4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40"/>
      <c r="D490" s="4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40"/>
      <c r="D491" s="4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40"/>
      <c r="D492" s="4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40"/>
      <c r="D493" s="4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40"/>
      <c r="D494" s="4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40"/>
      <c r="D495" s="4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40"/>
      <c r="D496" s="4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40"/>
      <c r="D497" s="4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40"/>
      <c r="D498" s="4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40"/>
      <c r="D499" s="4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40"/>
      <c r="D500" s="4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40"/>
      <c r="D501" s="4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40"/>
      <c r="D502" s="4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40"/>
      <c r="D503" s="4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40"/>
      <c r="D504" s="4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40"/>
      <c r="D505" s="4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40"/>
      <c r="D506" s="4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40"/>
      <c r="D507" s="4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40"/>
      <c r="D508" s="4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40"/>
      <c r="D509" s="4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40"/>
      <c r="D510" s="4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40"/>
      <c r="D511" s="4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40"/>
      <c r="D512" s="4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40"/>
      <c r="D513" s="4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40"/>
      <c r="D514" s="4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40"/>
      <c r="D515" s="4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40"/>
      <c r="D516" s="4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40"/>
      <c r="D517" s="4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40"/>
      <c r="D518" s="4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40"/>
      <c r="D519" s="4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40"/>
      <c r="D520" s="4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40"/>
      <c r="D521" s="4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40"/>
      <c r="D522" s="4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40"/>
      <c r="D523" s="4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40"/>
      <c r="D524" s="4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40"/>
      <c r="D525" s="4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40"/>
      <c r="D526" s="4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40"/>
      <c r="D527" s="4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40"/>
      <c r="D528" s="4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40"/>
      <c r="D529" s="4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40"/>
      <c r="D530" s="4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40"/>
      <c r="D531" s="4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40"/>
      <c r="D532" s="4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40"/>
      <c r="D533" s="4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40"/>
      <c r="D534" s="4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40"/>
      <c r="D535" s="4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40"/>
      <c r="D536" s="4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40"/>
      <c r="D537" s="4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40"/>
      <c r="D538" s="4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40"/>
      <c r="D539" s="4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40"/>
      <c r="D540" s="4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40"/>
      <c r="D541" s="4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40"/>
      <c r="D542" s="4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40"/>
      <c r="D543" s="4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40"/>
      <c r="D544" s="4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40"/>
      <c r="D545" s="4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40"/>
      <c r="D546" s="4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40"/>
      <c r="D547" s="4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40"/>
      <c r="D548" s="4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40"/>
      <c r="D549" s="4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40"/>
      <c r="D550" s="4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40"/>
      <c r="D551" s="4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40"/>
      <c r="D552" s="4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40"/>
      <c r="D553" s="4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40"/>
      <c r="D554" s="4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40"/>
      <c r="D555" s="4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40"/>
      <c r="D556" s="4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40"/>
      <c r="D557" s="4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40"/>
      <c r="D558" s="4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40"/>
      <c r="D559" s="4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40"/>
      <c r="D560" s="4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40"/>
      <c r="D561" s="4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40"/>
      <c r="D562" s="4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40"/>
      <c r="D563" s="4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40"/>
      <c r="D564" s="4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40"/>
      <c r="D565" s="4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40"/>
      <c r="D566" s="4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40"/>
      <c r="D567" s="4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40"/>
      <c r="D568" s="4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40"/>
      <c r="D569" s="4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40"/>
      <c r="D570" s="4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40"/>
      <c r="D571" s="4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40"/>
      <c r="D572" s="4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40"/>
      <c r="D573" s="4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40"/>
      <c r="D574" s="4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40"/>
      <c r="D575" s="4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40"/>
      <c r="D576" s="4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40"/>
      <c r="D577" s="4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40"/>
      <c r="D578" s="4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40"/>
      <c r="D579" s="4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40"/>
      <c r="D580" s="4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40"/>
      <c r="D581" s="4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40"/>
      <c r="D582" s="4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40"/>
      <c r="D583" s="4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40"/>
      <c r="D584" s="4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40"/>
      <c r="D585" s="4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40"/>
      <c r="D586" s="4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40"/>
      <c r="D587" s="4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40"/>
      <c r="D588" s="4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40"/>
      <c r="D589" s="4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40"/>
      <c r="D590" s="4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40"/>
      <c r="D591" s="4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40"/>
      <c r="D592" s="4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40"/>
      <c r="D593" s="4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40"/>
      <c r="D594" s="4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40"/>
      <c r="D595" s="4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40"/>
      <c r="D596" s="4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40"/>
      <c r="D597" s="4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40"/>
      <c r="D598" s="4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40"/>
      <c r="D599" s="4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40"/>
      <c r="D600" s="4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40"/>
      <c r="D601" s="4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40"/>
      <c r="D602" s="4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40"/>
      <c r="D603" s="4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40"/>
      <c r="D604" s="4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40"/>
      <c r="D605" s="4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40"/>
      <c r="D606" s="4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40"/>
      <c r="D607" s="4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40"/>
      <c r="D608" s="4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40"/>
      <c r="D609" s="4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40"/>
      <c r="D610" s="4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40"/>
      <c r="D611" s="4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40"/>
      <c r="D612" s="4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40"/>
      <c r="D613" s="4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40"/>
      <c r="D614" s="4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40"/>
      <c r="D615" s="4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40"/>
      <c r="D616" s="4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40"/>
      <c r="D617" s="4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40"/>
      <c r="D618" s="4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40"/>
      <c r="D619" s="4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40"/>
      <c r="D620" s="4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40"/>
      <c r="D621" s="4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40"/>
      <c r="D622" s="4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40"/>
      <c r="D623" s="4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40"/>
      <c r="D624" s="4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40"/>
      <c r="D625" s="4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40"/>
      <c r="D626" s="4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40"/>
      <c r="D627" s="4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40"/>
      <c r="D628" s="4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40"/>
      <c r="D629" s="4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40"/>
      <c r="D630" s="4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40"/>
      <c r="D631" s="4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40"/>
      <c r="D632" s="4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40"/>
      <c r="D633" s="4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40"/>
      <c r="D634" s="4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40"/>
      <c r="D635" s="4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40"/>
      <c r="D636" s="4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40"/>
      <c r="D637" s="4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40"/>
      <c r="D638" s="4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40"/>
      <c r="D639" s="4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40"/>
      <c r="D640" s="4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40"/>
      <c r="D641" s="4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40"/>
      <c r="D642" s="4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40"/>
      <c r="D643" s="4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40"/>
      <c r="D644" s="4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40"/>
      <c r="D645" s="4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40"/>
      <c r="D646" s="4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40"/>
      <c r="D647" s="4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40"/>
      <c r="D648" s="4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40"/>
      <c r="D649" s="4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40"/>
      <c r="D650" s="4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40"/>
      <c r="D651" s="4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40"/>
      <c r="D652" s="4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40"/>
      <c r="D653" s="4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40"/>
      <c r="D654" s="4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40"/>
      <c r="D655" s="4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40"/>
      <c r="D656" s="4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40"/>
      <c r="D657" s="4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40"/>
      <c r="D658" s="4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40"/>
      <c r="D659" s="4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40"/>
      <c r="D660" s="4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40"/>
      <c r="D661" s="4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40"/>
      <c r="D662" s="4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40"/>
      <c r="D663" s="4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40"/>
      <c r="D664" s="4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40"/>
      <c r="D665" s="4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40"/>
      <c r="D666" s="4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40"/>
      <c r="D667" s="4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40"/>
      <c r="D668" s="4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40"/>
      <c r="D669" s="4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40"/>
      <c r="D670" s="4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40"/>
      <c r="D671" s="4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40"/>
      <c r="D672" s="4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40"/>
      <c r="D673" s="4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40"/>
      <c r="D674" s="4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40"/>
      <c r="D675" s="4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40"/>
      <c r="D676" s="4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40"/>
      <c r="D677" s="4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40"/>
      <c r="D678" s="4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40"/>
      <c r="D679" s="4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40"/>
      <c r="D680" s="4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40"/>
      <c r="D681" s="4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40"/>
      <c r="D682" s="4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40"/>
      <c r="D683" s="4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40"/>
      <c r="D684" s="4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40"/>
      <c r="D685" s="4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40"/>
      <c r="D686" s="4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40"/>
      <c r="D687" s="4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40"/>
      <c r="D688" s="4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40"/>
      <c r="D689" s="4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40"/>
      <c r="D690" s="4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40"/>
      <c r="D691" s="4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40"/>
      <c r="D692" s="4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40"/>
      <c r="D693" s="4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40"/>
      <c r="D694" s="4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40"/>
      <c r="D695" s="4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40"/>
      <c r="D696" s="4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40"/>
      <c r="D697" s="4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40"/>
      <c r="D698" s="4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40"/>
      <c r="D699" s="4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40"/>
      <c r="D700" s="4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40"/>
      <c r="D701" s="4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40"/>
      <c r="D702" s="4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40"/>
      <c r="D703" s="4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40"/>
      <c r="D704" s="4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40"/>
      <c r="D705" s="4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40"/>
      <c r="D706" s="4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40"/>
      <c r="D707" s="4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40"/>
      <c r="D708" s="4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40"/>
      <c r="D709" s="4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40"/>
      <c r="D710" s="4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40"/>
      <c r="D711" s="4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40"/>
      <c r="D712" s="4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40"/>
      <c r="D713" s="4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40"/>
      <c r="D714" s="4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40"/>
      <c r="D715" s="4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40"/>
      <c r="D716" s="4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40"/>
      <c r="D717" s="4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40"/>
      <c r="D718" s="4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40"/>
      <c r="D719" s="4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40"/>
      <c r="D720" s="4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40"/>
      <c r="D721" s="4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40"/>
      <c r="D722" s="4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40"/>
      <c r="D723" s="4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40"/>
      <c r="D724" s="4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40"/>
      <c r="D725" s="4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40"/>
      <c r="D726" s="4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40"/>
      <c r="D727" s="4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40"/>
      <c r="D728" s="4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40"/>
      <c r="D729" s="4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40"/>
      <c r="D730" s="4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40"/>
      <c r="D731" s="4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40"/>
      <c r="D732" s="4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40"/>
      <c r="D733" s="4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40"/>
      <c r="D734" s="4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40"/>
      <c r="D735" s="4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40"/>
      <c r="D736" s="4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40"/>
      <c r="D737" s="4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40"/>
      <c r="D738" s="4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40"/>
      <c r="D739" s="4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40"/>
      <c r="D740" s="4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40"/>
      <c r="D741" s="4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40"/>
      <c r="D742" s="4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40"/>
      <c r="D743" s="4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40"/>
      <c r="D744" s="4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40"/>
      <c r="D745" s="4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40"/>
      <c r="D746" s="4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40"/>
      <c r="D747" s="4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40"/>
      <c r="D748" s="4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40"/>
      <c r="D749" s="4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40"/>
      <c r="D750" s="4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40"/>
      <c r="D751" s="4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40"/>
      <c r="D752" s="4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40"/>
      <c r="D753" s="4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40"/>
      <c r="D754" s="4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40"/>
      <c r="D755" s="4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40"/>
      <c r="D756" s="4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40"/>
      <c r="D757" s="4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40"/>
      <c r="D758" s="4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40"/>
      <c r="D759" s="4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40"/>
      <c r="D760" s="4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40"/>
      <c r="D761" s="4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40"/>
      <c r="D762" s="4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40"/>
      <c r="D763" s="4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40"/>
      <c r="D764" s="4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40"/>
      <c r="D765" s="4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40"/>
      <c r="D766" s="4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40"/>
      <c r="D767" s="4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40"/>
      <c r="D768" s="4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40"/>
      <c r="D769" s="4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40"/>
      <c r="D770" s="4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40"/>
      <c r="D771" s="4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40"/>
      <c r="D772" s="4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40"/>
      <c r="D773" s="4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40"/>
      <c r="D774" s="4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40"/>
      <c r="D775" s="4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40"/>
      <c r="D776" s="4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40"/>
      <c r="D777" s="4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40"/>
      <c r="D778" s="4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40"/>
      <c r="D779" s="4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40"/>
      <c r="D780" s="4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40"/>
      <c r="D781" s="4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40"/>
      <c r="D782" s="4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40"/>
      <c r="D783" s="4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40"/>
      <c r="D784" s="4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40"/>
      <c r="D785" s="4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40"/>
      <c r="D786" s="4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40"/>
      <c r="D787" s="4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40"/>
      <c r="D788" s="4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40"/>
      <c r="D789" s="4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40"/>
      <c r="D790" s="4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40"/>
      <c r="D791" s="4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40"/>
      <c r="D792" s="4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40"/>
      <c r="D793" s="4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40"/>
      <c r="D794" s="4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40"/>
      <c r="D795" s="4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40"/>
      <c r="D796" s="4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40"/>
      <c r="D797" s="4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40"/>
      <c r="D798" s="4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40"/>
      <c r="D799" s="4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40"/>
      <c r="D800" s="4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40"/>
      <c r="D801" s="4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40"/>
      <c r="D802" s="4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40"/>
      <c r="D803" s="4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40"/>
      <c r="D804" s="4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40"/>
      <c r="D805" s="4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40"/>
      <c r="D806" s="4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40"/>
      <c r="D807" s="4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40"/>
      <c r="D808" s="4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40"/>
      <c r="D809" s="4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40"/>
      <c r="D810" s="4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40"/>
      <c r="D811" s="4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40"/>
      <c r="D812" s="4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40"/>
      <c r="D813" s="4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40"/>
      <c r="D814" s="4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40"/>
      <c r="D815" s="4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40"/>
      <c r="D816" s="4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40"/>
      <c r="D817" s="4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40"/>
      <c r="D818" s="4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40"/>
      <c r="D819" s="4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40"/>
      <c r="D820" s="4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40"/>
      <c r="D821" s="4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40"/>
      <c r="D822" s="4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40"/>
      <c r="D823" s="4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40"/>
      <c r="D824" s="4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40"/>
      <c r="D825" s="4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40"/>
      <c r="D826" s="4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40"/>
      <c r="D827" s="4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40"/>
      <c r="D828" s="4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40"/>
      <c r="D829" s="4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40"/>
      <c r="D830" s="4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40"/>
      <c r="D831" s="4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40"/>
      <c r="D832" s="4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40"/>
      <c r="D833" s="4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40"/>
      <c r="D834" s="4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40"/>
      <c r="D835" s="4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40"/>
      <c r="D836" s="4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40"/>
      <c r="D837" s="4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40"/>
      <c r="D838" s="4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40"/>
      <c r="D839" s="4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40"/>
      <c r="D840" s="4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40"/>
      <c r="D841" s="4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40"/>
      <c r="D842" s="4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40"/>
      <c r="D843" s="4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40"/>
      <c r="D844" s="4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40"/>
      <c r="D845" s="4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40"/>
      <c r="D846" s="4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40"/>
      <c r="D847" s="4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40"/>
      <c r="D848" s="4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40"/>
      <c r="D849" s="4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40"/>
      <c r="D850" s="4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40"/>
      <c r="D851" s="4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40"/>
      <c r="D852" s="4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40"/>
      <c r="D853" s="4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40"/>
      <c r="D854" s="4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40"/>
      <c r="D855" s="4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40"/>
      <c r="D856" s="4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40"/>
      <c r="D857" s="4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40"/>
      <c r="D858" s="4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40"/>
      <c r="D859" s="4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40"/>
      <c r="D860" s="4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40"/>
      <c r="D861" s="4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40"/>
      <c r="D862" s="4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40"/>
      <c r="D863" s="4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40"/>
      <c r="D864" s="4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40"/>
      <c r="D865" s="4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40"/>
      <c r="D866" s="4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40"/>
      <c r="D867" s="4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40"/>
      <c r="D868" s="4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40"/>
      <c r="D869" s="4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40"/>
      <c r="D870" s="4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40"/>
      <c r="D871" s="4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40"/>
      <c r="D872" s="4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40"/>
      <c r="D873" s="4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40"/>
      <c r="D874" s="4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40"/>
      <c r="D875" s="4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40"/>
      <c r="D876" s="4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40"/>
      <c r="D877" s="4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40"/>
      <c r="D878" s="4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40"/>
      <c r="D879" s="4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40"/>
      <c r="D880" s="4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40"/>
      <c r="D881" s="4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40"/>
      <c r="D882" s="4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40"/>
      <c r="D883" s="4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40"/>
      <c r="D884" s="4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40"/>
      <c r="D885" s="4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40"/>
      <c r="D886" s="4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40"/>
      <c r="D887" s="4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40"/>
      <c r="D888" s="4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40"/>
      <c r="D889" s="4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40"/>
      <c r="D890" s="4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40"/>
      <c r="D891" s="4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40"/>
      <c r="D892" s="4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40"/>
      <c r="D893" s="4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40"/>
      <c r="D894" s="4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40"/>
      <c r="D895" s="4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40"/>
      <c r="D896" s="4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40"/>
      <c r="D897" s="4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40"/>
      <c r="D898" s="4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40"/>
      <c r="D899" s="4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40"/>
      <c r="D900" s="4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40"/>
      <c r="D901" s="4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40"/>
      <c r="D902" s="4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40"/>
      <c r="D903" s="4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40"/>
      <c r="D904" s="4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40"/>
      <c r="D905" s="4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40"/>
      <c r="D906" s="4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40"/>
      <c r="D907" s="4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40"/>
      <c r="D908" s="4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40"/>
      <c r="D909" s="4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40"/>
      <c r="D910" s="4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40"/>
      <c r="D911" s="4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40"/>
      <c r="D912" s="4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40"/>
      <c r="D913" s="4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40"/>
      <c r="D914" s="4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40"/>
      <c r="D915" s="4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40"/>
      <c r="D916" s="4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40"/>
      <c r="D917" s="4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40"/>
      <c r="D918" s="4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40"/>
      <c r="D919" s="4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40"/>
      <c r="D920" s="4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40"/>
      <c r="D921" s="4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40"/>
      <c r="D922" s="4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40"/>
      <c r="D923" s="4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40"/>
      <c r="D924" s="4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40"/>
      <c r="D925" s="4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40"/>
      <c r="D926" s="4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40"/>
      <c r="D927" s="4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40"/>
      <c r="D928" s="4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40"/>
      <c r="D929" s="4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40"/>
      <c r="D930" s="4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40"/>
      <c r="D931" s="4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40"/>
      <c r="D932" s="4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40"/>
      <c r="D933" s="4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40"/>
      <c r="D934" s="4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40"/>
      <c r="D935" s="4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40"/>
      <c r="D936" s="4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40"/>
      <c r="D937" s="4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40"/>
      <c r="D938" s="4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40"/>
      <c r="D939" s="4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40"/>
      <c r="D940" s="4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40"/>
      <c r="D941" s="4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40"/>
      <c r="D942" s="4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40"/>
      <c r="D943" s="4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40"/>
      <c r="D944" s="4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40"/>
      <c r="D945" s="4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40"/>
      <c r="D946" s="4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40"/>
      <c r="D947" s="4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40"/>
      <c r="D948" s="4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40"/>
      <c r="D949" s="4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40"/>
      <c r="D950" s="4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40"/>
      <c r="D951" s="4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40"/>
      <c r="D952" s="4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40"/>
      <c r="D953" s="4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40"/>
      <c r="D954" s="4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40"/>
      <c r="D955" s="4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40"/>
      <c r="D956" s="4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40"/>
      <c r="D957" s="4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40"/>
      <c r="D958" s="4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40"/>
      <c r="D959" s="4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40"/>
      <c r="D960" s="4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40"/>
      <c r="D961" s="4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40"/>
      <c r="D962" s="4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40"/>
      <c r="D963" s="4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40"/>
      <c r="D964" s="4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40"/>
      <c r="D965" s="4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40"/>
      <c r="D966" s="4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40"/>
      <c r="D967" s="4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40"/>
      <c r="D968" s="4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40"/>
      <c r="D969" s="4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40"/>
      <c r="D970" s="4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40"/>
      <c r="D971" s="4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40"/>
      <c r="D972" s="4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40"/>
      <c r="D973" s="4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40"/>
      <c r="D974" s="4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40"/>
      <c r="D975" s="4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40"/>
      <c r="D976" s="4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40"/>
      <c r="D977" s="4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40"/>
      <c r="D978" s="4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40"/>
      <c r="D979" s="4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40"/>
      <c r="D980" s="4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40"/>
      <c r="D981" s="4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40"/>
      <c r="D982" s="4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40"/>
      <c r="D983" s="4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40"/>
      <c r="D984" s="4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40"/>
      <c r="D985" s="4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40"/>
      <c r="D986" s="4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40"/>
      <c r="D987" s="4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40"/>
      <c r="D988" s="4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40"/>
      <c r="D989" s="4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40"/>
      <c r="D990" s="4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40"/>
      <c r="D991" s="4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40"/>
      <c r="D992" s="4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40"/>
      <c r="D993" s="4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40"/>
      <c r="D994" s="4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40"/>
      <c r="D995" s="4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40"/>
      <c r="D996" s="4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40"/>
      <c r="D997" s="4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40"/>
      <c r="D998" s="4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40"/>
      <c r="D999" s="4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40"/>
      <c r="D1000" s="4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40"/>
      <c r="D1001" s="42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40"/>
      <c r="D1002" s="42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40"/>
      <c r="D1003" s="4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40"/>
      <c r="D1004" s="42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40"/>
      <c r="D1005" s="42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40"/>
      <c r="D1006" s="42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38">
    <mergeCell ref="G18:H18"/>
    <mergeCell ref="G19:H19"/>
    <mergeCell ref="F24:J24"/>
    <mergeCell ref="A2:A10"/>
    <mergeCell ref="F2:F3"/>
    <mergeCell ref="F4:F5"/>
    <mergeCell ref="G13:H13"/>
    <mergeCell ref="G14:H14"/>
    <mergeCell ref="G15:H15"/>
    <mergeCell ref="G16:H16"/>
    <mergeCell ref="A11:A17"/>
    <mergeCell ref="A18:A23"/>
    <mergeCell ref="A24:A31"/>
    <mergeCell ref="A32:A34"/>
    <mergeCell ref="A35:A37"/>
    <mergeCell ref="A38:A40"/>
    <mergeCell ref="A41:A43"/>
    <mergeCell ref="A44:A47"/>
    <mergeCell ref="A48:A51"/>
    <mergeCell ref="A52:A56"/>
    <mergeCell ref="A57:A60"/>
    <mergeCell ref="A61:A63"/>
    <mergeCell ref="A64:A66"/>
    <mergeCell ref="A67:A69"/>
    <mergeCell ref="A100:A102"/>
    <mergeCell ref="A103:A105"/>
    <mergeCell ref="A106:A109"/>
    <mergeCell ref="A110:A116"/>
    <mergeCell ref="A117:A121"/>
    <mergeCell ref="A122:A123"/>
    <mergeCell ref="A124:A126"/>
    <mergeCell ref="A70:A72"/>
    <mergeCell ref="A73:A77"/>
    <mergeCell ref="A78:A81"/>
    <mergeCell ref="A82:A85"/>
    <mergeCell ref="A86:A90"/>
    <mergeCell ref="A91:A93"/>
    <mergeCell ref="A94:A99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75"/>
    <col customWidth="1" min="4" max="4" width="20.75"/>
    <col customWidth="1" min="6" max="6" width="23.0"/>
    <col customWidth="1" min="7" max="7" width="28.13"/>
  </cols>
  <sheetData>
    <row r="1">
      <c r="A1" s="94" t="s">
        <v>24</v>
      </c>
      <c r="B1" s="95" t="s">
        <v>25</v>
      </c>
      <c r="C1" s="95" t="s">
        <v>26</v>
      </c>
      <c r="D1" s="95" t="s">
        <v>27</v>
      </c>
      <c r="E1" s="5"/>
      <c r="F1" s="96" t="s">
        <v>24</v>
      </c>
      <c r="G1" s="96" t="s">
        <v>28</v>
      </c>
      <c r="H1" s="97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3">
        <v>45835.0</v>
      </c>
      <c r="B2" s="41" t="s">
        <v>89</v>
      </c>
      <c r="C2" s="41">
        <v>15.0</v>
      </c>
      <c r="D2" s="99" t="s">
        <v>40</v>
      </c>
      <c r="E2" s="5"/>
      <c r="F2" s="100">
        <v>45835.0</v>
      </c>
      <c r="G2" s="101" t="s">
        <v>652</v>
      </c>
      <c r="H2" s="102">
        <v>257.0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2"/>
      <c r="B3" s="41" t="s">
        <v>50</v>
      </c>
      <c r="C3" s="41">
        <v>75.0</v>
      </c>
      <c r="D3" s="99" t="s">
        <v>40</v>
      </c>
      <c r="E3" s="5"/>
      <c r="F3" s="92"/>
      <c r="G3" s="41" t="s">
        <v>653</v>
      </c>
      <c r="H3" s="104">
        <v>20000.0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2"/>
      <c r="B4" s="41" t="s">
        <v>654</v>
      </c>
      <c r="C4" s="41">
        <v>22.0</v>
      </c>
      <c r="D4" s="99" t="s">
        <v>40</v>
      </c>
      <c r="E4" s="5"/>
      <c r="F4" s="103">
        <v>45838.0</v>
      </c>
      <c r="G4" s="41" t="s">
        <v>655</v>
      </c>
      <c r="H4" s="104">
        <v>1000.0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2"/>
      <c r="B5" s="41" t="s">
        <v>148</v>
      </c>
      <c r="C5" s="41">
        <v>94.0</v>
      </c>
      <c r="D5" s="99" t="s">
        <v>48</v>
      </c>
      <c r="E5" s="5"/>
      <c r="F5" s="103">
        <v>45841.0</v>
      </c>
      <c r="G5" s="41" t="s">
        <v>412</v>
      </c>
      <c r="H5" s="104">
        <v>4000.0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2"/>
      <c r="B6" s="41" t="s">
        <v>656</v>
      </c>
      <c r="C6" s="41">
        <v>300.0</v>
      </c>
      <c r="D6" s="99" t="s">
        <v>40</v>
      </c>
      <c r="E6" s="5"/>
      <c r="F6" s="103">
        <v>45854.0</v>
      </c>
      <c r="G6" s="41" t="s">
        <v>655</v>
      </c>
      <c r="H6" s="104">
        <v>1500.0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2"/>
      <c r="B7" s="41" t="s">
        <v>657</v>
      </c>
      <c r="C7" s="41">
        <v>500.0</v>
      </c>
      <c r="D7" s="99" t="s">
        <v>603</v>
      </c>
      <c r="E7" s="5"/>
      <c r="F7" s="92"/>
      <c r="G7" s="41" t="s">
        <v>199</v>
      </c>
      <c r="H7" s="104">
        <v>4000.0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2"/>
      <c r="B8" s="41" t="s">
        <v>658</v>
      </c>
      <c r="C8" s="41">
        <v>435.0</v>
      </c>
      <c r="D8" s="99" t="s">
        <v>603</v>
      </c>
      <c r="E8" s="5"/>
      <c r="F8" s="170"/>
      <c r="G8" s="5"/>
      <c r="H8" s="16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2"/>
      <c r="B9" s="41" t="s">
        <v>659</v>
      </c>
      <c r="C9" s="41">
        <v>-94.0</v>
      </c>
      <c r="D9" s="99" t="s">
        <v>48</v>
      </c>
      <c r="E9" s="5"/>
      <c r="F9" s="170"/>
      <c r="G9" s="5"/>
      <c r="H9" s="16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3">
        <v>45836.0</v>
      </c>
      <c r="B10" s="41" t="s">
        <v>84</v>
      </c>
      <c r="C10" s="41">
        <v>2000.0</v>
      </c>
      <c r="D10" s="99" t="s">
        <v>603</v>
      </c>
      <c r="E10" s="5"/>
      <c r="F10" s="170"/>
      <c r="G10" s="5"/>
      <c r="H10" s="16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2"/>
      <c r="B11" s="41" t="s">
        <v>660</v>
      </c>
      <c r="C11" s="41">
        <f>3328</f>
        <v>3328</v>
      </c>
      <c r="D11" s="99" t="s">
        <v>48</v>
      </c>
      <c r="E11" s="5"/>
      <c r="F11" s="170"/>
      <c r="G11" s="5"/>
      <c r="H11" s="16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2"/>
      <c r="B12" s="41" t="s">
        <v>661</v>
      </c>
      <c r="C12" s="41">
        <v>42.0</v>
      </c>
      <c r="D12" s="99" t="s">
        <v>40</v>
      </c>
      <c r="E12" s="5"/>
      <c r="F12" s="171"/>
      <c r="G12" s="147"/>
      <c r="H12" s="14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2"/>
      <c r="B13" s="41" t="s">
        <v>112</v>
      </c>
      <c r="C13" s="41">
        <v>65.0</v>
      </c>
      <c r="D13" s="99" t="s">
        <v>40</v>
      </c>
      <c r="E13" s="5"/>
      <c r="F13" s="115" t="s">
        <v>49</v>
      </c>
      <c r="G13" s="116">
        <f>SUM(H2:H12)</f>
        <v>30757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2"/>
      <c r="B14" s="41" t="s">
        <v>633</v>
      </c>
      <c r="C14" s="41">
        <v>4000.0</v>
      </c>
      <c r="D14" s="99" t="s">
        <v>101</v>
      </c>
      <c r="E14" s="5"/>
      <c r="F14" s="117" t="s">
        <v>51</v>
      </c>
      <c r="G14" s="118">
        <f>SUMIF(D2:D199, "&lt;&gt;Credit", C2:C507) + G15</f>
        <v>30711</v>
      </c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3">
        <v>45837.0</v>
      </c>
      <c r="B15" s="41" t="s">
        <v>89</v>
      </c>
      <c r="C15" s="41">
        <v>30.0</v>
      </c>
      <c r="D15" s="99" t="s">
        <v>40</v>
      </c>
      <c r="E15" s="5"/>
      <c r="F15" s="117" t="s">
        <v>53</v>
      </c>
      <c r="G15" s="119">
        <f>903+133</f>
        <v>1036</v>
      </c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2"/>
      <c r="B16" s="41" t="s">
        <v>109</v>
      </c>
      <c r="C16" s="41">
        <v>28.0</v>
      </c>
      <c r="D16" s="99" t="s">
        <v>40</v>
      </c>
      <c r="E16" s="5"/>
      <c r="F16" s="117" t="s">
        <v>55</v>
      </c>
      <c r="G16" s="119">
        <v>0.0</v>
      </c>
      <c r="H16" s="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2"/>
      <c r="B17" s="41" t="s">
        <v>111</v>
      </c>
      <c r="C17" s="41">
        <v>25.0</v>
      </c>
      <c r="D17" s="99" t="s">
        <v>40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2"/>
      <c r="B18" s="41" t="s">
        <v>145</v>
      </c>
      <c r="C18" s="41">
        <v>25.0</v>
      </c>
      <c r="D18" s="99" t="s">
        <v>40</v>
      </c>
      <c r="E18" s="5"/>
      <c r="F18" s="117" t="s">
        <v>500</v>
      </c>
      <c r="G18" s="121">
        <f>G13-G14-J30</f>
        <v>46</v>
      </c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3">
        <v>45838.0</v>
      </c>
      <c r="B19" s="41" t="s">
        <v>89</v>
      </c>
      <c r="C19" s="41">
        <v>15.0</v>
      </c>
      <c r="D19" s="99" t="s">
        <v>40</v>
      </c>
      <c r="E19" s="5"/>
      <c r="F19" s="117" t="s">
        <v>501</v>
      </c>
      <c r="G19" s="122">
        <f>G13-G14</f>
        <v>46</v>
      </c>
      <c r="H19" s="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2"/>
      <c r="B20" s="41" t="s">
        <v>56</v>
      </c>
      <c r="C20" s="41">
        <v>14.0</v>
      </c>
      <c r="D20" s="99" t="s">
        <v>40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2"/>
      <c r="B21" s="41" t="s">
        <v>353</v>
      </c>
      <c r="C21" s="41">
        <v>30.0</v>
      </c>
      <c r="D21" s="99" t="s">
        <v>40</v>
      </c>
      <c r="E21" s="5"/>
      <c r="F21" s="123" t="s">
        <v>62</v>
      </c>
      <c r="G21" s="123" t="s">
        <v>63</v>
      </c>
      <c r="H21" s="123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2"/>
      <c r="B22" s="41" t="s">
        <v>395</v>
      </c>
      <c r="C22" s="41">
        <v>78.0</v>
      </c>
      <c r="D22" s="99" t="s">
        <v>40</v>
      </c>
      <c r="E22" s="41"/>
      <c r="F22" s="124" t="s">
        <v>40</v>
      </c>
      <c r="G22" s="19">
        <v>5000.0</v>
      </c>
      <c r="H22" s="37">
        <f>SUMIF(D2:D122, "=Living expense",C2:C140)+G15</f>
        <v>5748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2"/>
      <c r="B23" s="41" t="s">
        <v>148</v>
      </c>
      <c r="C23" s="41">
        <v>31.0</v>
      </c>
      <c r="D23" s="99" t="s">
        <v>40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2"/>
      <c r="B24" s="41" t="s">
        <v>592</v>
      </c>
      <c r="C24" s="41">
        <v>500.0</v>
      </c>
      <c r="D24" s="99" t="s">
        <v>34</v>
      </c>
      <c r="E24" s="5"/>
      <c r="F24" s="125" t="s">
        <v>67</v>
      </c>
      <c r="G24" s="2"/>
      <c r="H24" s="2"/>
      <c r="I24" s="2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2"/>
      <c r="B25" s="41" t="s">
        <v>662</v>
      </c>
      <c r="C25" s="41">
        <v>237.0</v>
      </c>
      <c r="D25" s="99" t="s">
        <v>48</v>
      </c>
      <c r="E25" s="5"/>
      <c r="F25" s="123" t="s">
        <v>62</v>
      </c>
      <c r="G25" s="123" t="s">
        <v>63</v>
      </c>
      <c r="H25" s="123" t="s">
        <v>64</v>
      </c>
      <c r="I25" s="123" t="s">
        <v>69</v>
      </c>
      <c r="J25" s="123" t="s">
        <v>70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3">
        <v>45839.0</v>
      </c>
      <c r="B26" s="41" t="s">
        <v>146</v>
      </c>
      <c r="C26" s="41">
        <v>70.0</v>
      </c>
      <c r="D26" s="99" t="s">
        <v>40</v>
      </c>
      <c r="E26" s="5"/>
      <c r="F26" s="172" t="s">
        <v>12</v>
      </c>
      <c r="G26" s="173">
        <v>3000.0</v>
      </c>
      <c r="H26" s="174">
        <f>SUMIF(D3:D232, "=Gonsa",C3:C232)</f>
        <v>5000</v>
      </c>
      <c r="I26" s="175" t="b">
        <v>1</v>
      </c>
      <c r="J26" s="176">
        <f t="shared" ref="J26:J29" si="1">IF(I26=TRUE,0,MAX(G26-H26,0))</f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2"/>
      <c r="B27" s="41" t="s">
        <v>148</v>
      </c>
      <c r="C27" s="41">
        <v>94.0</v>
      </c>
      <c r="D27" s="99" t="s">
        <v>40</v>
      </c>
      <c r="E27" s="5"/>
      <c r="F27" s="172" t="s">
        <v>475</v>
      </c>
      <c r="G27" s="173">
        <v>4000.0</v>
      </c>
      <c r="H27" s="174">
        <f>SUMIF(D4:D233, "=Rent",C4:C233)</f>
        <v>4070</v>
      </c>
      <c r="I27" s="175" t="b">
        <v>1</v>
      </c>
      <c r="J27" s="176">
        <f t="shared" si="1"/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2"/>
      <c r="B28" s="41" t="s">
        <v>66</v>
      </c>
      <c r="C28" s="41">
        <v>4070.0</v>
      </c>
      <c r="D28" s="99" t="s">
        <v>475</v>
      </c>
      <c r="E28" s="5"/>
      <c r="F28" s="177" t="s">
        <v>101</v>
      </c>
      <c r="G28" s="178">
        <v>3000.0</v>
      </c>
      <c r="H28" s="174">
        <f>SUMIF(D5:D234, "=Parent",C5:C234)</f>
        <v>4296</v>
      </c>
      <c r="I28" s="175" t="b">
        <v>1</v>
      </c>
      <c r="J28" s="176">
        <f t="shared" si="1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2"/>
      <c r="B29" s="41" t="s">
        <v>619</v>
      </c>
      <c r="C29" s="41">
        <v>1000.0</v>
      </c>
      <c r="D29" s="99" t="s">
        <v>34</v>
      </c>
      <c r="E29" s="5"/>
      <c r="F29" s="177" t="s">
        <v>663</v>
      </c>
      <c r="G29" s="178">
        <v>1700.0</v>
      </c>
      <c r="H29" s="178">
        <f>SUMIF(D5:D234, "=Trip",C5:C234)</f>
        <v>1634</v>
      </c>
      <c r="I29" s="175" t="b">
        <v>1</v>
      </c>
      <c r="J29" s="176">
        <f t="shared" si="1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2"/>
      <c r="B30" s="41" t="s">
        <v>125</v>
      </c>
      <c r="C30" s="41">
        <v>260.0</v>
      </c>
      <c r="D30" s="99" t="s">
        <v>40</v>
      </c>
      <c r="E30" s="5"/>
      <c r="F30" s="168" t="s">
        <v>73</v>
      </c>
      <c r="G30" s="39">
        <f t="shared" ref="G30:H30" si="2">SUM(G25:G29)</f>
        <v>11700</v>
      </c>
      <c r="H30" s="39">
        <f t="shared" si="2"/>
        <v>15000</v>
      </c>
      <c r="I30" s="117"/>
      <c r="J30" s="39">
        <f>SUM(J26:J29)</f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3">
        <v>45840.0</v>
      </c>
      <c r="B31" s="41" t="s">
        <v>664</v>
      </c>
      <c r="C31" s="41">
        <v>20.0</v>
      </c>
      <c r="D31" s="99" t="s">
        <v>40</v>
      </c>
      <c r="E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2"/>
      <c r="B32" s="41" t="s">
        <v>665</v>
      </c>
      <c r="C32" s="41">
        <v>38.0</v>
      </c>
      <c r="D32" s="99" t="s">
        <v>40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2"/>
      <c r="B33" s="41" t="s">
        <v>395</v>
      </c>
      <c r="C33" s="41">
        <f>80-14-22</f>
        <v>44</v>
      </c>
      <c r="D33" s="99" t="s">
        <v>40</v>
      </c>
      <c r="E33" s="4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2"/>
      <c r="B34" s="41" t="s">
        <v>117</v>
      </c>
      <c r="C34" s="41">
        <v>25.0</v>
      </c>
      <c r="D34" s="99" t="s">
        <v>40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2"/>
      <c r="B35" s="41" t="s">
        <v>151</v>
      </c>
      <c r="C35" s="41">
        <v>43.0</v>
      </c>
      <c r="D35" s="99" t="s">
        <v>40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2"/>
      <c r="B36" s="41" t="s">
        <v>43</v>
      </c>
      <c r="C36" s="41">
        <v>30.0</v>
      </c>
      <c r="D36" s="99" t="s">
        <v>40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03">
        <v>45841.0</v>
      </c>
      <c r="B37" s="41" t="s">
        <v>89</v>
      </c>
      <c r="C37" s="41">
        <v>15.0</v>
      </c>
      <c r="D37" s="99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92"/>
      <c r="B38" s="41" t="s">
        <v>632</v>
      </c>
      <c r="C38" s="41">
        <v>-1000.0</v>
      </c>
      <c r="D38" s="99" t="s">
        <v>34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2"/>
      <c r="B39" s="41" t="s">
        <v>666</v>
      </c>
      <c r="C39" s="5">
        <f>33-9</f>
        <v>24</v>
      </c>
      <c r="D39" s="99" t="s">
        <v>40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92"/>
      <c r="B40" s="41" t="s">
        <v>93</v>
      </c>
      <c r="C40" s="41">
        <v>107.0</v>
      </c>
      <c r="D40" s="99" t="s">
        <v>40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2"/>
      <c r="B41" s="41" t="s">
        <v>221</v>
      </c>
      <c r="C41" s="41">
        <v>38.0</v>
      </c>
      <c r="D41" s="99" t="s">
        <v>40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2"/>
      <c r="B42" s="41" t="s">
        <v>146</v>
      </c>
      <c r="C42" s="41">
        <v>35.0</v>
      </c>
      <c r="D42" s="99" t="s">
        <v>40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03">
        <v>45842.0</v>
      </c>
      <c r="B43" s="41" t="s">
        <v>667</v>
      </c>
      <c r="C43" s="41">
        <v>73.0</v>
      </c>
      <c r="D43" s="99" t="s">
        <v>40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2"/>
      <c r="B44" s="41" t="s">
        <v>585</v>
      </c>
      <c r="C44" s="41">
        <v>-85.0</v>
      </c>
      <c r="D44" s="99" t="s">
        <v>40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03">
        <v>45843.0</v>
      </c>
      <c r="B45" s="41" t="s">
        <v>668</v>
      </c>
      <c r="C45" s="41">
        <v>54.0</v>
      </c>
      <c r="D45" s="99" t="s">
        <v>40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92"/>
      <c r="B46" s="41" t="s">
        <v>669</v>
      </c>
      <c r="C46" s="41">
        <v>115.0</v>
      </c>
      <c r="D46" s="99" t="s">
        <v>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92"/>
      <c r="B47" s="41" t="s">
        <v>670</v>
      </c>
      <c r="C47" s="41">
        <v>1000.0</v>
      </c>
      <c r="D47" s="99" t="s">
        <v>663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2"/>
      <c r="B48" s="41" t="s">
        <v>50</v>
      </c>
      <c r="C48" s="41">
        <v>69.0</v>
      </c>
      <c r="D48" s="99" t="s">
        <v>40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2"/>
      <c r="B49" s="41" t="s">
        <v>93</v>
      </c>
      <c r="C49" s="41">
        <v>55.0</v>
      </c>
      <c r="D49" s="99" t="s">
        <v>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03">
        <v>45844.0</v>
      </c>
      <c r="B50" s="41" t="s">
        <v>50</v>
      </c>
      <c r="C50" s="41">
        <v>60.0</v>
      </c>
      <c r="D50" s="99" t="s">
        <v>40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2"/>
      <c r="B51" s="41" t="s">
        <v>93</v>
      </c>
      <c r="C51" s="41">
        <v>62.0</v>
      </c>
      <c r="D51" s="99" t="s">
        <v>40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03">
        <v>45845.0</v>
      </c>
      <c r="B52" s="41" t="s">
        <v>671</v>
      </c>
      <c r="C52" s="41">
        <f>86+44</f>
        <v>130</v>
      </c>
      <c r="D52" s="99" t="s">
        <v>40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2"/>
      <c r="B53" s="41" t="s">
        <v>666</v>
      </c>
      <c r="C53" s="41">
        <v>22.0</v>
      </c>
      <c r="D53" s="99" t="s">
        <v>48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92"/>
      <c r="B54" s="41" t="s">
        <v>93</v>
      </c>
      <c r="C54" s="41">
        <v>30.0</v>
      </c>
      <c r="D54" s="99" t="s">
        <v>40</v>
      </c>
      <c r="E54" s="4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92"/>
      <c r="B55" s="41" t="s">
        <v>672</v>
      </c>
      <c r="C55" s="41">
        <v>300.0</v>
      </c>
      <c r="D55" s="99" t="s">
        <v>72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92"/>
      <c r="B56" s="41" t="s">
        <v>305</v>
      </c>
      <c r="C56" s="41">
        <v>69.0</v>
      </c>
      <c r="D56" s="99" t="s">
        <v>40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03">
        <v>45846.0</v>
      </c>
      <c r="B57" s="41" t="s">
        <v>89</v>
      </c>
      <c r="C57" s="41">
        <v>22.0</v>
      </c>
      <c r="D57" s="99" t="s">
        <v>40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92"/>
      <c r="B58" s="41" t="s">
        <v>673</v>
      </c>
      <c r="C58" s="41">
        <v>200.0</v>
      </c>
      <c r="D58" s="99" t="s">
        <v>72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92"/>
      <c r="B59" s="41" t="s">
        <v>151</v>
      </c>
      <c r="C59" s="41">
        <v>90.0</v>
      </c>
      <c r="D59" s="99" t="s">
        <v>72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92"/>
      <c r="B60" s="41" t="s">
        <v>120</v>
      </c>
      <c r="C60" s="41">
        <v>12.0</v>
      </c>
      <c r="D60" s="99" t="s">
        <v>40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2"/>
      <c r="B61" s="41" t="s">
        <v>395</v>
      </c>
      <c r="C61" s="41">
        <f>147-30-30</f>
        <v>87</v>
      </c>
      <c r="D61" s="99" t="s">
        <v>40</v>
      </c>
      <c r="E61" s="4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92"/>
      <c r="B62" s="41" t="s">
        <v>430</v>
      </c>
      <c r="C62" s="41">
        <v>251.0</v>
      </c>
      <c r="D62" s="99" t="s">
        <v>101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92"/>
      <c r="B63" s="41" t="s">
        <v>33</v>
      </c>
      <c r="C63" s="41">
        <v>1000.0</v>
      </c>
      <c r="D63" s="99" t="s">
        <v>34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92"/>
      <c r="B64" s="41" t="s">
        <v>624</v>
      </c>
      <c r="C64" s="41">
        <v>95.0</v>
      </c>
      <c r="D64" s="99" t="s">
        <v>48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03">
        <v>45847.0</v>
      </c>
      <c r="B65" s="41" t="s">
        <v>89</v>
      </c>
      <c r="C65" s="41">
        <v>31.0</v>
      </c>
      <c r="D65" s="99" t="s">
        <v>40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92"/>
      <c r="B66" s="41" t="s">
        <v>56</v>
      </c>
      <c r="C66" s="41">
        <v>14.0</v>
      </c>
      <c r="D66" s="99" t="s">
        <v>40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92"/>
      <c r="B67" s="41" t="s">
        <v>674</v>
      </c>
      <c r="C67" s="5">
        <f>422+84-85-85-85-85-85</f>
        <v>81</v>
      </c>
      <c r="D67" s="99" t="s">
        <v>40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92"/>
      <c r="B68" s="41" t="s">
        <v>93</v>
      </c>
      <c r="C68" s="41">
        <v>60.0</v>
      </c>
      <c r="D68" s="99" t="s">
        <v>40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2"/>
      <c r="B69" s="41" t="s">
        <v>37</v>
      </c>
      <c r="C69" s="41">
        <v>40.0</v>
      </c>
      <c r="D69" s="99" t="s">
        <v>40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03">
        <v>45848.0</v>
      </c>
      <c r="B70" s="41" t="s">
        <v>395</v>
      </c>
      <c r="C70" s="41">
        <f>172-37-49-51</f>
        <v>35</v>
      </c>
      <c r="D70" s="99" t="s">
        <v>40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92"/>
      <c r="B71" s="41" t="s">
        <v>107</v>
      </c>
      <c r="C71" s="41">
        <v>39.0</v>
      </c>
      <c r="D71" s="99" t="s">
        <v>40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92"/>
      <c r="B72" s="41" t="s">
        <v>148</v>
      </c>
      <c r="C72" s="41">
        <v>49.0</v>
      </c>
      <c r="D72" s="99" t="s">
        <v>40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92"/>
      <c r="B73" s="41" t="s">
        <v>594</v>
      </c>
      <c r="C73" s="41">
        <v>-500.0</v>
      </c>
      <c r="D73" s="99" t="s">
        <v>34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03">
        <v>45849.0</v>
      </c>
      <c r="B74" s="41" t="s">
        <v>675</v>
      </c>
      <c r="C74" s="5">
        <f>175+132-61-59-75-59</f>
        <v>53</v>
      </c>
      <c r="D74" s="99" t="s">
        <v>40</v>
      </c>
      <c r="E74" s="4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92"/>
      <c r="B75" s="41" t="s">
        <v>676</v>
      </c>
      <c r="C75" s="41">
        <v>180.0</v>
      </c>
      <c r="D75" s="99" t="s">
        <v>40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92"/>
      <c r="B76" s="41" t="s">
        <v>677</v>
      </c>
      <c r="C76" s="41">
        <v>159.0</v>
      </c>
      <c r="D76" s="99" t="s">
        <v>72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92"/>
      <c r="B77" s="41" t="s">
        <v>151</v>
      </c>
      <c r="C77" s="41">
        <v>54.0</v>
      </c>
      <c r="D77" s="99" t="s">
        <v>72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92"/>
      <c r="B78" s="41" t="s">
        <v>216</v>
      </c>
      <c r="C78" s="41">
        <v>72.0</v>
      </c>
      <c r="D78" s="99" t="s">
        <v>48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92"/>
      <c r="B79" s="41" t="s">
        <v>11</v>
      </c>
      <c r="C79" s="41">
        <v>54.0</v>
      </c>
      <c r="D79" s="99" t="s">
        <v>40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03">
        <v>45850.0</v>
      </c>
      <c r="B80" s="41" t="s">
        <v>56</v>
      </c>
      <c r="C80" s="41">
        <v>20.0</v>
      </c>
      <c r="D80" s="99" t="s">
        <v>663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2"/>
      <c r="B81" s="41" t="s">
        <v>678</v>
      </c>
      <c r="C81" s="41">
        <v>80.0</v>
      </c>
      <c r="D81" s="99" t="s">
        <v>663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03">
        <v>45851.0</v>
      </c>
      <c r="B82" s="41" t="s">
        <v>679</v>
      </c>
      <c r="C82" s="41">
        <v>75.0</v>
      </c>
      <c r="D82" s="99" t="s">
        <v>40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92"/>
      <c r="B83" s="41" t="s">
        <v>680</v>
      </c>
      <c r="C83" s="41">
        <v>459.0</v>
      </c>
      <c r="D83" s="99" t="s">
        <v>663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92"/>
      <c r="B84" s="41" t="s">
        <v>93</v>
      </c>
      <c r="C84" s="41">
        <v>69.0</v>
      </c>
      <c r="D84" s="99" t="s">
        <v>40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92"/>
      <c r="B85" s="41" t="s">
        <v>56</v>
      </c>
      <c r="C85" s="41">
        <v>10.0</v>
      </c>
      <c r="D85" s="99" t="s">
        <v>40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92"/>
      <c r="B86" s="41" t="s">
        <v>681</v>
      </c>
      <c r="C86" s="41">
        <v>-100.0</v>
      </c>
      <c r="D86" s="99" t="s">
        <v>40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03">
        <v>45852.0</v>
      </c>
      <c r="B87" s="41" t="s">
        <v>50</v>
      </c>
      <c r="C87" s="41">
        <v>40.0</v>
      </c>
      <c r="D87" s="99" t="s">
        <v>40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92"/>
      <c r="B88" s="41" t="s">
        <v>56</v>
      </c>
      <c r="C88" s="41">
        <v>14.0</v>
      </c>
      <c r="D88" s="99" t="s">
        <v>40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92"/>
      <c r="B89" s="41" t="s">
        <v>682</v>
      </c>
      <c r="C89" s="5">
        <f>10+65</f>
        <v>75</v>
      </c>
      <c r="D89" s="99" t="s">
        <v>663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92"/>
      <c r="B90" s="41" t="s">
        <v>213</v>
      </c>
      <c r="C90" s="41">
        <f>100-35</f>
        <v>65</v>
      </c>
      <c r="D90" s="99" t="s">
        <v>40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92"/>
      <c r="B91" s="41" t="s">
        <v>43</v>
      </c>
      <c r="C91" s="41">
        <v>110.0</v>
      </c>
      <c r="D91" s="99" t="s">
        <v>40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03">
        <v>45853.0</v>
      </c>
      <c r="B92" s="41" t="s">
        <v>12</v>
      </c>
      <c r="C92" s="41">
        <v>5000.0</v>
      </c>
      <c r="D92" s="99" t="s">
        <v>12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2"/>
      <c r="B93" s="41" t="s">
        <v>395</v>
      </c>
      <c r="C93" s="41">
        <f>114-45-45</f>
        <v>24</v>
      </c>
      <c r="D93" s="99" t="s">
        <v>40</v>
      </c>
      <c r="E93" s="4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92"/>
      <c r="B94" s="41" t="s">
        <v>93</v>
      </c>
      <c r="C94" s="41">
        <v>25.0</v>
      </c>
      <c r="D94" s="99" t="s">
        <v>40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03">
        <v>45854.0</v>
      </c>
      <c r="B95" s="41" t="s">
        <v>683</v>
      </c>
      <c r="C95" s="41">
        <v>20.0</v>
      </c>
      <c r="D95" s="99" t="s">
        <v>40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92"/>
      <c r="B96" s="41" t="s">
        <v>50</v>
      </c>
      <c r="C96" s="41">
        <v>40.0</v>
      </c>
      <c r="D96" s="99" t="s">
        <v>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92"/>
      <c r="B97" s="41" t="s">
        <v>56</v>
      </c>
      <c r="C97" s="41">
        <v>14.0</v>
      </c>
      <c r="D97" s="99" t="s">
        <v>40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92"/>
      <c r="B98" s="41" t="s">
        <v>684</v>
      </c>
      <c r="C98" s="41">
        <v>4000.0</v>
      </c>
      <c r="D98" s="99" t="s">
        <v>34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92"/>
      <c r="B99" s="41" t="s">
        <v>117</v>
      </c>
      <c r="C99" s="41">
        <v>128.0</v>
      </c>
      <c r="D99" s="99" t="s">
        <v>40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92"/>
      <c r="B100" s="41" t="s">
        <v>395</v>
      </c>
      <c r="C100" s="5">
        <f>89-48</f>
        <v>41</v>
      </c>
      <c r="D100" s="99" t="s">
        <v>40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03">
        <v>45855.0</v>
      </c>
      <c r="B101" s="41" t="s">
        <v>89</v>
      </c>
      <c r="C101" s="41">
        <v>22.0</v>
      </c>
      <c r="D101" s="99" t="s">
        <v>40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92"/>
      <c r="B102" s="41" t="s">
        <v>504</v>
      </c>
      <c r="C102" s="41">
        <v>21.0</v>
      </c>
      <c r="D102" s="99" t="s">
        <v>40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92"/>
      <c r="B103" s="41" t="s">
        <v>56</v>
      </c>
      <c r="C103" s="41">
        <v>14.0</v>
      </c>
      <c r="D103" s="99" t="s">
        <v>40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92"/>
      <c r="B104" s="41" t="s">
        <v>395</v>
      </c>
      <c r="C104" s="5">
        <f>179-54-39-39</f>
        <v>47</v>
      </c>
      <c r="D104" s="99" t="s">
        <v>40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92"/>
      <c r="B105" s="41" t="s">
        <v>623</v>
      </c>
      <c r="C105" s="41">
        <v>99.0</v>
      </c>
      <c r="D105" s="99" t="s">
        <v>40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92"/>
      <c r="B106" s="41" t="s">
        <v>685</v>
      </c>
      <c r="C106" s="41">
        <v>40.0</v>
      </c>
      <c r="D106" s="99" t="s">
        <v>40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03">
        <v>45856.0</v>
      </c>
      <c r="B107" s="41" t="s">
        <v>664</v>
      </c>
      <c r="C107" s="41">
        <v>20.0</v>
      </c>
      <c r="D107" s="99" t="s">
        <v>40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92"/>
      <c r="B108" s="41" t="s">
        <v>686</v>
      </c>
      <c r="C108" s="5">
        <f>183-43-49-48</f>
        <v>43</v>
      </c>
      <c r="D108" s="99" t="s">
        <v>40</v>
      </c>
      <c r="E108" s="4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92"/>
      <c r="B109" s="41" t="s">
        <v>608</v>
      </c>
      <c r="C109" s="41">
        <v>45.0</v>
      </c>
      <c r="D109" s="99" t="s">
        <v>101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92"/>
      <c r="B110" s="41" t="s">
        <v>93</v>
      </c>
      <c r="C110" s="41">
        <v>58.0</v>
      </c>
      <c r="D110" s="99" t="s">
        <v>40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03">
        <v>45857.0</v>
      </c>
      <c r="B111" s="41" t="s">
        <v>305</v>
      </c>
      <c r="C111" s="41">
        <v>65.0</v>
      </c>
      <c r="D111" s="99" t="s">
        <v>40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92"/>
      <c r="B112" s="41" t="s">
        <v>50</v>
      </c>
      <c r="C112" s="5">
        <f>260</f>
        <v>260</v>
      </c>
      <c r="D112" s="99" t="s">
        <v>40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92"/>
      <c r="B113" s="41" t="s">
        <v>687</v>
      </c>
      <c r="C113" s="5">
        <f>38*2</f>
        <v>76</v>
      </c>
      <c r="D113" s="99" t="s">
        <v>40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92"/>
      <c r="B114" s="41" t="s">
        <v>442</v>
      </c>
      <c r="C114" s="5">
        <f>156</f>
        <v>156</v>
      </c>
      <c r="D114" s="99" t="s">
        <v>40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92"/>
      <c r="B115" s="41" t="s">
        <v>594</v>
      </c>
      <c r="C115" s="41">
        <v>-142.0</v>
      </c>
      <c r="D115" s="99" t="s">
        <v>40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92"/>
      <c r="B116" s="41" t="s">
        <v>688</v>
      </c>
      <c r="C116" s="41">
        <v>178.0</v>
      </c>
      <c r="D116" s="99" t="s">
        <v>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03">
        <v>45858.0</v>
      </c>
      <c r="B117" s="41" t="s">
        <v>689</v>
      </c>
      <c r="C117" s="41">
        <v>-142.0</v>
      </c>
      <c r="D117" s="99" t="s">
        <v>40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92"/>
      <c r="B118" s="41" t="s">
        <v>89</v>
      </c>
      <c r="C118" s="41">
        <v>30.0</v>
      </c>
      <c r="D118" s="99" t="s">
        <v>40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92"/>
      <c r="B119" s="41" t="s">
        <v>690</v>
      </c>
      <c r="C119" s="41">
        <v>35.0</v>
      </c>
      <c r="D119" s="99" t="s">
        <v>40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92"/>
      <c r="B120" s="41" t="s">
        <v>691</v>
      </c>
      <c r="C120" s="5">
        <f>219-120</f>
        <v>99</v>
      </c>
      <c r="D120" s="99" t="s">
        <v>40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03">
        <v>45859.0</v>
      </c>
      <c r="B121" s="41" t="s">
        <v>152</v>
      </c>
      <c r="C121" s="5">
        <f>33+14-10</f>
        <v>37</v>
      </c>
      <c r="D121" s="99" t="s">
        <v>40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92"/>
      <c r="B122" s="41" t="s">
        <v>691</v>
      </c>
      <c r="C122" s="5">
        <f>181-87</f>
        <v>94</v>
      </c>
      <c r="D122" s="99" t="s">
        <v>40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92"/>
      <c r="B123" s="41" t="s">
        <v>692</v>
      </c>
      <c r="C123" s="41">
        <v>55.0</v>
      </c>
      <c r="D123" s="99" t="s">
        <v>40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03">
        <v>45860.0</v>
      </c>
      <c r="B124" s="41" t="s">
        <v>56</v>
      </c>
      <c r="C124" s="41">
        <v>14.0</v>
      </c>
      <c r="D124" s="99" t="s">
        <v>40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92"/>
      <c r="B125" s="41" t="s">
        <v>693</v>
      </c>
      <c r="C125" s="5">
        <f>85</f>
        <v>85</v>
      </c>
      <c r="D125" s="99" t="s">
        <v>40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03">
        <v>45861.0</v>
      </c>
      <c r="B126" s="41" t="s">
        <v>487</v>
      </c>
      <c r="C126" s="41">
        <v>50.0</v>
      </c>
      <c r="D126" s="99" t="s">
        <v>40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92"/>
      <c r="B127" s="41" t="s">
        <v>152</v>
      </c>
      <c r="C127" s="41">
        <v>26.0</v>
      </c>
      <c r="D127" s="99" t="s">
        <v>40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92"/>
      <c r="B128" s="41" t="s">
        <v>691</v>
      </c>
      <c r="C128" s="5">
        <f>96-50</f>
        <v>46</v>
      </c>
      <c r="D128" s="99" t="s">
        <v>40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92"/>
      <c r="B129" s="41" t="s">
        <v>694</v>
      </c>
      <c r="C129" s="41">
        <v>70.0</v>
      </c>
      <c r="D129" s="99" t="s">
        <v>40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92"/>
      <c r="B130" s="41" t="s">
        <v>120</v>
      </c>
      <c r="C130" s="41">
        <v>35.0</v>
      </c>
      <c r="D130" s="99" t="s">
        <v>40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03">
        <v>45862.0</v>
      </c>
      <c r="B131" s="41" t="s">
        <v>679</v>
      </c>
      <c r="C131" s="41">
        <v>111.0</v>
      </c>
      <c r="D131" s="99" t="s">
        <v>40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92"/>
      <c r="B132" s="41" t="s">
        <v>152</v>
      </c>
      <c r="C132" s="41">
        <v>26.0</v>
      </c>
      <c r="D132" s="99" t="s">
        <v>40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92"/>
      <c r="B133" s="41" t="s">
        <v>395</v>
      </c>
      <c r="C133" s="5">
        <f>164-42-42-36</f>
        <v>44</v>
      </c>
      <c r="D133" s="99" t="s">
        <v>40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03">
        <v>45863.0</v>
      </c>
      <c r="B134" s="41" t="s">
        <v>33</v>
      </c>
      <c r="C134" s="41">
        <v>100.0</v>
      </c>
      <c r="D134" s="99" t="s">
        <v>34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92"/>
      <c r="B135" s="41" t="s">
        <v>695</v>
      </c>
      <c r="C135" s="5">
        <f>124+111-19-55-62-59</f>
        <v>40</v>
      </c>
      <c r="D135" s="99" t="s">
        <v>40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92"/>
      <c r="B136" s="41" t="s">
        <v>395</v>
      </c>
      <c r="C136" s="41">
        <f>111-28-47+10</f>
        <v>46</v>
      </c>
      <c r="D136" s="99" t="s">
        <v>40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03">
        <v>45864.0</v>
      </c>
      <c r="B137" s="41" t="s">
        <v>305</v>
      </c>
      <c r="C137" s="41">
        <v>65.0</v>
      </c>
      <c r="D137" s="99" t="s">
        <v>40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92"/>
      <c r="B138" s="41" t="s">
        <v>50</v>
      </c>
      <c r="C138" s="41">
        <v>46.0</v>
      </c>
      <c r="D138" s="99" t="s">
        <v>40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03">
        <v>45865.0</v>
      </c>
      <c r="B139" s="41" t="s">
        <v>318</v>
      </c>
      <c r="C139" s="41">
        <v>25.0</v>
      </c>
      <c r="D139" s="99" t="s">
        <v>40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92"/>
      <c r="B140" s="41" t="s">
        <v>50</v>
      </c>
      <c r="C140" s="41">
        <v>75.0</v>
      </c>
      <c r="D140" s="99" t="s">
        <v>40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92"/>
      <c r="B141" s="41" t="s">
        <v>221</v>
      </c>
      <c r="C141" s="41">
        <v>38.0</v>
      </c>
      <c r="D141" s="99" t="s">
        <v>40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92"/>
      <c r="B142" s="41" t="s">
        <v>93</v>
      </c>
      <c r="C142" s="41">
        <v>103.0</v>
      </c>
      <c r="D142" s="99" t="s">
        <v>40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92"/>
      <c r="B143" s="41" t="s">
        <v>632</v>
      </c>
      <c r="C143" s="41">
        <f>-195-60</f>
        <v>-255</v>
      </c>
      <c r="D143" s="99" t="s">
        <v>40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92"/>
      <c r="B144" s="41" t="s">
        <v>696</v>
      </c>
      <c r="C144" s="41">
        <v>334.0</v>
      </c>
      <c r="D144" s="99" t="s">
        <v>48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03">
        <v>45866.0</v>
      </c>
      <c r="B145" s="41" t="s">
        <v>156</v>
      </c>
      <c r="C145" s="41">
        <v>26.0</v>
      </c>
      <c r="D145" s="99" t="s">
        <v>40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92"/>
      <c r="B146" s="41" t="s">
        <v>93</v>
      </c>
      <c r="C146" s="5">
        <f>111-55</f>
        <v>56</v>
      </c>
      <c r="D146" s="99" t="s">
        <v>40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03">
        <v>45867.0</v>
      </c>
      <c r="B147" s="41" t="s">
        <v>117</v>
      </c>
      <c r="C147" s="41">
        <v>25.0</v>
      </c>
      <c r="D147" s="99" t="s">
        <v>40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92"/>
      <c r="B148" s="41" t="s">
        <v>152</v>
      </c>
      <c r="C148" s="41">
        <v>70.0</v>
      </c>
      <c r="D148" s="99" t="s">
        <v>40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92"/>
      <c r="B149" s="41" t="s">
        <v>395</v>
      </c>
      <c r="C149" s="5">
        <f>121</f>
        <v>121</v>
      </c>
      <c r="D149" s="99" t="s">
        <v>40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92"/>
      <c r="B150" s="41" t="s">
        <v>148</v>
      </c>
      <c r="C150" s="41">
        <v>82.0</v>
      </c>
      <c r="D150" s="99" t="s">
        <v>40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99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99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42">
    <mergeCell ref="G15:H15"/>
    <mergeCell ref="G16:H16"/>
    <mergeCell ref="G19:H19"/>
    <mergeCell ref="F24:J24"/>
    <mergeCell ref="A2:A9"/>
    <mergeCell ref="F2:F3"/>
    <mergeCell ref="F6:F7"/>
    <mergeCell ref="A10:A14"/>
    <mergeCell ref="G13:H13"/>
    <mergeCell ref="G14:H14"/>
    <mergeCell ref="G18:H18"/>
    <mergeCell ref="A15:A18"/>
    <mergeCell ref="A19:A25"/>
    <mergeCell ref="A26:A30"/>
    <mergeCell ref="A31:A36"/>
    <mergeCell ref="A37:A42"/>
    <mergeCell ref="A43:A44"/>
    <mergeCell ref="A45:A49"/>
    <mergeCell ref="A50:A51"/>
    <mergeCell ref="A52:A56"/>
    <mergeCell ref="A57:A64"/>
    <mergeCell ref="A65:A69"/>
    <mergeCell ref="A70:A73"/>
    <mergeCell ref="A74:A79"/>
    <mergeCell ref="A80:A81"/>
    <mergeCell ref="A82:A86"/>
    <mergeCell ref="A87:A91"/>
    <mergeCell ref="A92:A94"/>
    <mergeCell ref="A95:A100"/>
    <mergeCell ref="A101:A106"/>
    <mergeCell ref="A107:A110"/>
    <mergeCell ref="A111:A116"/>
    <mergeCell ref="A139:A144"/>
    <mergeCell ref="A145:A146"/>
    <mergeCell ref="A147:A150"/>
    <mergeCell ref="A117:A120"/>
    <mergeCell ref="A121:A123"/>
    <mergeCell ref="A124:A125"/>
    <mergeCell ref="A126:A130"/>
    <mergeCell ref="A131:A133"/>
    <mergeCell ref="A134:A136"/>
    <mergeCell ref="A137:A138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9.38"/>
    <col customWidth="1" min="4" max="4" width="19.63"/>
    <col customWidth="1" min="6" max="7" width="22.5"/>
    <col customWidth="1" min="9" max="9" width="10.13"/>
    <col customWidth="1" min="10" max="10" width="16.38"/>
  </cols>
  <sheetData>
    <row r="1">
      <c r="A1" s="179" t="s">
        <v>24</v>
      </c>
      <c r="B1" s="180" t="s">
        <v>25</v>
      </c>
      <c r="C1" s="180" t="s">
        <v>26</v>
      </c>
      <c r="D1" s="180" t="s">
        <v>27</v>
      </c>
      <c r="E1" s="181"/>
      <c r="F1" s="182" t="s">
        <v>24</v>
      </c>
      <c r="G1" s="182" t="s">
        <v>28</v>
      </c>
      <c r="H1" s="183" t="s">
        <v>26</v>
      </c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184">
        <v>45806.0</v>
      </c>
      <c r="B2" s="185" t="s">
        <v>89</v>
      </c>
      <c r="C2" s="185">
        <v>15.0</v>
      </c>
      <c r="D2" s="186" t="s">
        <v>40</v>
      </c>
      <c r="E2" s="181"/>
      <c r="F2" s="187">
        <v>45806.0</v>
      </c>
      <c r="G2" s="188" t="s">
        <v>697</v>
      </c>
      <c r="H2" s="189">
        <v>68.0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A3" s="92"/>
      <c r="B3" s="185" t="s">
        <v>698</v>
      </c>
      <c r="C3" s="185">
        <v>1400.0</v>
      </c>
      <c r="D3" s="186" t="s">
        <v>190</v>
      </c>
      <c r="E3" s="181"/>
      <c r="F3" s="92"/>
      <c r="G3" s="185" t="s">
        <v>699</v>
      </c>
      <c r="H3" s="190">
        <v>20000.0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A4" s="92"/>
      <c r="B4" s="185" t="s">
        <v>700</v>
      </c>
      <c r="C4" s="185">
        <v>1000.0</v>
      </c>
      <c r="D4" s="186" t="s">
        <v>603</v>
      </c>
      <c r="E4" s="181"/>
      <c r="F4" s="184">
        <v>45823.0</v>
      </c>
      <c r="G4" s="185" t="s">
        <v>701</v>
      </c>
      <c r="H4" s="191">
        <v>500.0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92"/>
      <c r="B5" s="185" t="s">
        <v>395</v>
      </c>
      <c r="C5" s="185">
        <v>155.0</v>
      </c>
      <c r="D5" s="186" t="s">
        <v>40</v>
      </c>
      <c r="E5" s="181"/>
      <c r="F5" s="92"/>
      <c r="G5" s="185" t="s">
        <v>199</v>
      </c>
      <c r="H5" s="191">
        <v>2000.0</v>
      </c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92"/>
      <c r="B6" s="185" t="s">
        <v>702</v>
      </c>
      <c r="C6" s="185">
        <v>-41.0</v>
      </c>
      <c r="D6" s="186" t="s">
        <v>40</v>
      </c>
      <c r="E6" s="181"/>
      <c r="F6" s="184">
        <v>45832.0</v>
      </c>
      <c r="G6" s="185" t="s">
        <v>703</v>
      </c>
      <c r="H6" s="191">
        <v>500.0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92"/>
      <c r="B7" s="185" t="s">
        <v>704</v>
      </c>
      <c r="C7" s="185">
        <v>-73.0</v>
      </c>
      <c r="D7" s="186" t="s">
        <v>40</v>
      </c>
      <c r="E7" s="181"/>
      <c r="F7" s="184"/>
      <c r="G7" s="181"/>
      <c r="H7" s="192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A8" s="92"/>
      <c r="B8" s="185" t="s">
        <v>705</v>
      </c>
      <c r="C8" s="185">
        <v>-34.0</v>
      </c>
      <c r="D8" s="186" t="s">
        <v>40</v>
      </c>
      <c r="E8" s="181"/>
      <c r="F8" s="193"/>
      <c r="G8" s="181"/>
      <c r="H8" s="192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184">
        <v>45807.0</v>
      </c>
      <c r="B9" s="185" t="s">
        <v>89</v>
      </c>
      <c r="C9" s="185">
        <v>15.0</v>
      </c>
      <c r="D9" s="186" t="s">
        <v>40</v>
      </c>
      <c r="E9" s="181"/>
      <c r="F9" s="193"/>
      <c r="G9" s="181"/>
      <c r="H9" s="192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A10" s="92"/>
      <c r="B10" s="185" t="s">
        <v>50</v>
      </c>
      <c r="C10" s="185">
        <v>41.0</v>
      </c>
      <c r="D10" s="186" t="s">
        <v>40</v>
      </c>
      <c r="E10" s="181"/>
      <c r="F10" s="193"/>
      <c r="G10" s="181"/>
      <c r="H10" s="192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92"/>
      <c r="B11" s="185" t="s">
        <v>295</v>
      </c>
      <c r="C11" s="185">
        <v>72.0</v>
      </c>
      <c r="D11" s="186" t="s">
        <v>40</v>
      </c>
      <c r="E11" s="181"/>
      <c r="F11" s="193"/>
      <c r="G11" s="181"/>
      <c r="H11" s="192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A12" s="92"/>
      <c r="B12" s="185" t="s">
        <v>93</v>
      </c>
      <c r="C12" s="185">
        <v>77.0</v>
      </c>
      <c r="D12" s="186" t="s">
        <v>40</v>
      </c>
      <c r="E12" s="181"/>
      <c r="F12" s="194"/>
      <c r="G12" s="195"/>
      <c r="H12" s="196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184">
        <v>45808.0</v>
      </c>
      <c r="B13" s="185" t="s">
        <v>706</v>
      </c>
      <c r="C13" s="185">
        <v>38.0</v>
      </c>
      <c r="D13" s="186" t="s">
        <v>40</v>
      </c>
      <c r="E13" s="181"/>
      <c r="F13" s="197" t="s">
        <v>49</v>
      </c>
      <c r="G13" s="198">
        <f>SUM(H2:H12)</f>
        <v>23068</v>
      </c>
      <c r="H13" s="27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A14" s="92"/>
      <c r="B14" s="185" t="s">
        <v>50</v>
      </c>
      <c r="C14" s="185">
        <v>42.0</v>
      </c>
      <c r="D14" s="186" t="s">
        <v>40</v>
      </c>
      <c r="E14" s="181"/>
      <c r="F14" s="199" t="s">
        <v>51</v>
      </c>
      <c r="G14" s="200">
        <f>SUMIF(D2:D194, "&lt;&gt;Credit", C2:C502) + G15</f>
        <v>22811</v>
      </c>
      <c r="H14" s="3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A15" s="92"/>
      <c r="B15" s="185" t="s">
        <v>91</v>
      </c>
      <c r="C15" s="185">
        <v>25.0</v>
      </c>
      <c r="D15" s="186" t="s">
        <v>40</v>
      </c>
      <c r="E15" s="181"/>
      <c r="F15" s="199" t="s">
        <v>707</v>
      </c>
      <c r="G15" s="201">
        <f>489</f>
        <v>489</v>
      </c>
      <c r="H15" s="3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92"/>
      <c r="B16" s="185" t="s">
        <v>633</v>
      </c>
      <c r="C16" s="185">
        <v>4015.0</v>
      </c>
      <c r="D16" s="186" t="s">
        <v>101</v>
      </c>
      <c r="E16" s="181"/>
      <c r="F16" s="199" t="s">
        <v>55</v>
      </c>
      <c r="G16" s="201">
        <v>0.0</v>
      </c>
      <c r="H16" s="3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184">
        <v>45809.0</v>
      </c>
      <c r="B17" s="185" t="s">
        <v>89</v>
      </c>
      <c r="C17" s="185">
        <v>22.0</v>
      </c>
      <c r="D17" s="186" t="s">
        <v>40</v>
      </c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A18" s="92"/>
      <c r="B18" s="185" t="s">
        <v>50</v>
      </c>
      <c r="C18" s="185">
        <v>58.0</v>
      </c>
      <c r="D18" s="186" t="s">
        <v>40</v>
      </c>
      <c r="E18" s="181"/>
      <c r="F18" s="199" t="s">
        <v>500</v>
      </c>
      <c r="G18" s="202">
        <f>G13-G14-J29</f>
        <v>257</v>
      </c>
      <c r="H18" s="3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A19" s="92"/>
      <c r="B19" s="185" t="s">
        <v>125</v>
      </c>
      <c r="C19" s="185">
        <v>260.0</v>
      </c>
      <c r="D19" s="186" t="s">
        <v>40</v>
      </c>
      <c r="E19" s="181"/>
      <c r="F19" s="199" t="s">
        <v>501</v>
      </c>
      <c r="G19" s="203">
        <f>G13-G14</f>
        <v>257</v>
      </c>
      <c r="H19" s="3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A20" s="92"/>
      <c r="B20" s="185" t="s">
        <v>295</v>
      </c>
      <c r="C20" s="185">
        <v>50.0</v>
      </c>
      <c r="D20" s="186" t="s">
        <v>40</v>
      </c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92"/>
      <c r="B21" s="185" t="s">
        <v>708</v>
      </c>
      <c r="C21" s="185">
        <v>-65.0</v>
      </c>
      <c r="D21" s="186" t="s">
        <v>40</v>
      </c>
      <c r="E21" s="181"/>
      <c r="F21" s="204" t="s">
        <v>62</v>
      </c>
      <c r="G21" s="204" t="s">
        <v>63</v>
      </c>
      <c r="H21" s="204" t="s">
        <v>64</v>
      </c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A22" s="92"/>
      <c r="B22" s="185" t="s">
        <v>289</v>
      </c>
      <c r="C22" s="185">
        <v>4182.0</v>
      </c>
      <c r="D22" s="186" t="s">
        <v>475</v>
      </c>
      <c r="E22" s="181"/>
      <c r="F22" s="205" t="s">
        <v>40</v>
      </c>
      <c r="G22" s="206">
        <v>5000.0</v>
      </c>
      <c r="H22" s="207">
        <f>SUMIF(D2:D117, "=Living expense",C2:C135)+G15</f>
        <v>4421</v>
      </c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A23" s="92"/>
      <c r="B23" s="185" t="s">
        <v>587</v>
      </c>
      <c r="C23" s="185">
        <v>-65.0</v>
      </c>
      <c r="D23" s="186" t="s">
        <v>40</v>
      </c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184">
        <v>45810.0</v>
      </c>
      <c r="B24" s="185" t="s">
        <v>89</v>
      </c>
      <c r="C24" s="185">
        <v>15.0</v>
      </c>
      <c r="D24" s="186" t="s">
        <v>40</v>
      </c>
      <c r="E24" s="181"/>
      <c r="F24" s="208" t="s">
        <v>67</v>
      </c>
      <c r="G24" s="2"/>
      <c r="H24" s="2"/>
      <c r="I24" s="2"/>
      <c r="J24" s="3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92"/>
      <c r="B25" s="185" t="s">
        <v>585</v>
      </c>
      <c r="C25" s="185">
        <v>-65.0</v>
      </c>
      <c r="D25" s="186" t="s">
        <v>40</v>
      </c>
      <c r="E25" s="181"/>
      <c r="F25" s="204" t="s">
        <v>62</v>
      </c>
      <c r="G25" s="204" t="s">
        <v>63</v>
      </c>
      <c r="H25" s="204" t="s">
        <v>64</v>
      </c>
      <c r="I25" s="204" t="s">
        <v>69</v>
      </c>
      <c r="J25" s="204" t="s">
        <v>70</v>
      </c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A26" s="92"/>
      <c r="B26" s="185" t="s">
        <v>93</v>
      </c>
      <c r="C26" s="185">
        <v>62.0</v>
      </c>
      <c r="D26" s="186" t="s">
        <v>40</v>
      </c>
      <c r="E26" s="181"/>
      <c r="F26" s="209" t="s">
        <v>12</v>
      </c>
      <c r="G26" s="210">
        <v>5000.0</v>
      </c>
      <c r="H26" s="211">
        <f>SUMIF(D3:D227, "=Gonsa",C3:C227)</f>
        <v>5000</v>
      </c>
      <c r="I26" s="212" t="b">
        <v>1</v>
      </c>
      <c r="J26" s="213">
        <f t="shared" ref="J26:J28" si="1">IF(I26=TRUE,0,MAX(G26-H26,0))</f>
        <v>0</v>
      </c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A27" s="184">
        <v>45811.0</v>
      </c>
      <c r="B27" s="185" t="s">
        <v>295</v>
      </c>
      <c r="C27" s="185">
        <v>31.0</v>
      </c>
      <c r="D27" s="186" t="s">
        <v>40</v>
      </c>
      <c r="E27" s="181"/>
      <c r="F27" s="209" t="s">
        <v>475</v>
      </c>
      <c r="G27" s="210">
        <v>4000.0</v>
      </c>
      <c r="H27" s="211">
        <f>SUMIF(D4:D228, "=Rent",C4:C228)</f>
        <v>4182</v>
      </c>
      <c r="I27" s="212" t="b">
        <v>1</v>
      </c>
      <c r="J27" s="213">
        <f t="shared" si="1"/>
        <v>0</v>
      </c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A28" s="92"/>
      <c r="B28" s="185" t="s">
        <v>406</v>
      </c>
      <c r="C28" s="185">
        <v>23.0</v>
      </c>
      <c r="D28" s="186" t="s">
        <v>40</v>
      </c>
      <c r="E28" s="181"/>
      <c r="F28" s="214" t="s">
        <v>101</v>
      </c>
      <c r="G28" s="215">
        <v>3000.0</v>
      </c>
      <c r="H28" s="211">
        <f>SUMIF(D5:D229, "=Parent",C5:C229)</f>
        <v>5200</v>
      </c>
      <c r="I28" s="212" t="b">
        <v>1</v>
      </c>
      <c r="J28" s="213">
        <f t="shared" si="1"/>
        <v>0</v>
      </c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A29" s="92"/>
      <c r="B29" s="185" t="s">
        <v>430</v>
      </c>
      <c r="C29" s="185">
        <v>296.0</v>
      </c>
      <c r="D29" s="186" t="s">
        <v>101</v>
      </c>
      <c r="E29" s="181"/>
      <c r="F29" s="216" t="s">
        <v>73</v>
      </c>
      <c r="G29" s="217">
        <f t="shared" ref="G29:H29" si="2">SUM(G25:G28)</f>
        <v>12000</v>
      </c>
      <c r="H29" s="217">
        <f t="shared" si="2"/>
        <v>14382</v>
      </c>
      <c r="I29" s="199"/>
      <c r="J29" s="217">
        <f>SUM(J26:J28)</f>
        <v>0</v>
      </c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92"/>
      <c r="B30" s="185" t="s">
        <v>395</v>
      </c>
      <c r="C30" s="185">
        <v>102.0</v>
      </c>
      <c r="D30" s="186" t="s">
        <v>40</v>
      </c>
      <c r="E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A31" s="184">
        <v>45812.0</v>
      </c>
      <c r="B31" s="185" t="s">
        <v>327</v>
      </c>
      <c r="C31" s="185">
        <v>15.0</v>
      </c>
      <c r="D31" s="186" t="s">
        <v>40</v>
      </c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A32" s="92"/>
      <c r="B32" s="185" t="s">
        <v>50</v>
      </c>
      <c r="C32" s="185">
        <v>35.0</v>
      </c>
      <c r="D32" s="186" t="s">
        <v>40</v>
      </c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92"/>
      <c r="B33" s="185" t="s">
        <v>709</v>
      </c>
      <c r="C33" s="185">
        <v>232.0</v>
      </c>
      <c r="D33" s="186" t="s">
        <v>40</v>
      </c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92"/>
      <c r="B34" s="185" t="s">
        <v>710</v>
      </c>
      <c r="C34" s="185">
        <v>-201.0</v>
      </c>
      <c r="D34" s="186" t="s">
        <v>40</v>
      </c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A35" s="92"/>
      <c r="B35" s="185" t="s">
        <v>356</v>
      </c>
      <c r="C35" s="185">
        <v>119.0</v>
      </c>
      <c r="D35" s="186" t="s">
        <v>40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92"/>
      <c r="B36" s="185" t="s">
        <v>471</v>
      </c>
      <c r="C36" s="185">
        <v>30.0</v>
      </c>
      <c r="D36" s="186" t="s">
        <v>40</v>
      </c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92"/>
      <c r="B37" s="185" t="s">
        <v>117</v>
      </c>
      <c r="C37" s="185">
        <v>25.0</v>
      </c>
      <c r="D37" s="186" t="s">
        <v>40</v>
      </c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92"/>
      <c r="B38" s="185" t="s">
        <v>711</v>
      </c>
      <c r="C38" s="185">
        <v>90.0</v>
      </c>
      <c r="D38" s="186" t="s">
        <v>40</v>
      </c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A39" s="184">
        <v>45813.0</v>
      </c>
      <c r="B39" s="185" t="s">
        <v>89</v>
      </c>
      <c r="C39" s="185">
        <v>15.0</v>
      </c>
      <c r="D39" s="186" t="s">
        <v>40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92"/>
      <c r="B40" s="185" t="s">
        <v>50</v>
      </c>
      <c r="C40" s="185">
        <v>40.0</v>
      </c>
      <c r="D40" s="186" t="s">
        <v>40</v>
      </c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A41" s="92"/>
      <c r="B41" s="185" t="s">
        <v>356</v>
      </c>
      <c r="C41" s="185">
        <v>94.0</v>
      </c>
      <c r="D41" s="186" t="s">
        <v>40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92"/>
      <c r="B42" s="185" t="s">
        <v>592</v>
      </c>
      <c r="C42" s="185">
        <v>1500.0</v>
      </c>
      <c r="D42" s="186" t="s">
        <v>34</v>
      </c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A43" s="184">
        <v>45814.0</v>
      </c>
      <c r="B43" s="185" t="s">
        <v>89</v>
      </c>
      <c r="C43" s="185">
        <v>15.0</v>
      </c>
      <c r="D43" s="186" t="s">
        <v>40</v>
      </c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92"/>
      <c r="B44" s="185" t="s">
        <v>686</v>
      </c>
      <c r="C44" s="185">
        <v>53.0</v>
      </c>
      <c r="D44" s="186" t="s">
        <v>40</v>
      </c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92"/>
      <c r="B45" s="185" t="s">
        <v>93</v>
      </c>
      <c r="C45" s="185">
        <v>59.0</v>
      </c>
      <c r="D45" s="186" t="s">
        <v>40</v>
      </c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A46" s="184">
        <v>45815.0</v>
      </c>
      <c r="B46" s="185" t="s">
        <v>89</v>
      </c>
      <c r="C46" s="185">
        <v>15.0</v>
      </c>
      <c r="D46" s="186" t="s">
        <v>40</v>
      </c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92"/>
      <c r="B47" s="185" t="s">
        <v>37</v>
      </c>
      <c r="C47" s="185">
        <v>45.0</v>
      </c>
      <c r="D47" s="186" t="s">
        <v>40</v>
      </c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A48" s="92"/>
      <c r="B48" s="185" t="s">
        <v>454</v>
      </c>
      <c r="C48" s="185">
        <v>30.0</v>
      </c>
      <c r="D48" s="186" t="s">
        <v>40</v>
      </c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92"/>
      <c r="B49" s="185" t="s">
        <v>117</v>
      </c>
      <c r="C49" s="185">
        <v>22.0</v>
      </c>
      <c r="D49" s="186" t="s">
        <v>40</v>
      </c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92"/>
      <c r="B50" s="185" t="s">
        <v>712</v>
      </c>
      <c r="C50" s="185">
        <v>32.0</v>
      </c>
      <c r="D50" s="186" t="s">
        <v>40</v>
      </c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92"/>
      <c r="B51" s="185" t="s">
        <v>33</v>
      </c>
      <c r="C51" s="185">
        <v>600.0</v>
      </c>
      <c r="D51" s="186" t="s">
        <v>34</v>
      </c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A52" s="92"/>
      <c r="B52" s="185" t="s">
        <v>130</v>
      </c>
      <c r="C52" s="185">
        <v>30.0</v>
      </c>
      <c r="D52" s="186" t="s">
        <v>40</v>
      </c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92"/>
      <c r="B53" s="185" t="s">
        <v>594</v>
      </c>
      <c r="C53" s="185">
        <v>-1500.0</v>
      </c>
      <c r="D53" s="186" t="s">
        <v>34</v>
      </c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184">
        <v>45816.0</v>
      </c>
      <c r="B54" s="185" t="s">
        <v>713</v>
      </c>
      <c r="C54" s="185">
        <v>889.0</v>
      </c>
      <c r="D54" s="186" t="s">
        <v>101</v>
      </c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A55" s="92"/>
      <c r="B55" s="185" t="s">
        <v>714</v>
      </c>
      <c r="C55" s="185">
        <v>73.0</v>
      </c>
      <c r="D55" s="186" t="s">
        <v>190</v>
      </c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92"/>
      <c r="B56" s="185" t="s">
        <v>80</v>
      </c>
      <c r="C56" s="185">
        <v>135.0</v>
      </c>
      <c r="D56" s="186" t="s">
        <v>40</v>
      </c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A57" s="92"/>
      <c r="B57" s="185" t="s">
        <v>37</v>
      </c>
      <c r="C57" s="185">
        <v>50.0</v>
      </c>
      <c r="D57" s="186" t="s">
        <v>40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A58" s="92"/>
      <c r="B58" s="185" t="s">
        <v>715</v>
      </c>
      <c r="C58" s="185">
        <v>179.0</v>
      </c>
      <c r="D58" s="186" t="s">
        <v>40</v>
      </c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A59" s="92"/>
      <c r="B59" s="185" t="s">
        <v>716</v>
      </c>
      <c r="C59" s="185">
        <v>439.0</v>
      </c>
      <c r="D59" s="186" t="s">
        <v>190</v>
      </c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92"/>
      <c r="B60" s="185" t="s">
        <v>93</v>
      </c>
      <c r="C60" s="185">
        <v>75.0</v>
      </c>
      <c r="D60" s="186" t="s">
        <v>40</v>
      </c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184">
        <v>45817.0</v>
      </c>
      <c r="B61" s="185" t="s">
        <v>89</v>
      </c>
      <c r="C61" s="185">
        <v>15.0</v>
      </c>
      <c r="D61" s="186" t="s">
        <v>40</v>
      </c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92"/>
      <c r="B62" s="185" t="s">
        <v>717</v>
      </c>
      <c r="C62" s="185">
        <v>162.0</v>
      </c>
      <c r="D62" s="186" t="s">
        <v>190</v>
      </c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92"/>
      <c r="B63" s="185" t="s">
        <v>395</v>
      </c>
      <c r="C63" s="185">
        <v>105.0</v>
      </c>
      <c r="D63" s="186" t="s">
        <v>40</v>
      </c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92"/>
      <c r="B64" s="185" t="s">
        <v>718</v>
      </c>
      <c r="C64" s="181">
        <f>-(34+18)</f>
        <v>-52</v>
      </c>
      <c r="D64" s="186" t="s">
        <v>40</v>
      </c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A65" s="184">
        <v>45818.0</v>
      </c>
      <c r="B65" s="185" t="s">
        <v>719</v>
      </c>
      <c r="C65" s="185">
        <v>100.0</v>
      </c>
      <c r="D65" s="186" t="s">
        <v>40</v>
      </c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92"/>
      <c r="B66" s="185" t="s">
        <v>395</v>
      </c>
      <c r="C66" s="185">
        <v>103.0</v>
      </c>
      <c r="D66" s="186" t="s">
        <v>40</v>
      </c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92"/>
      <c r="B67" s="185" t="s">
        <v>718</v>
      </c>
      <c r="C67" s="181">
        <f>-34-34</f>
        <v>-68</v>
      </c>
      <c r="D67" s="186" t="s">
        <v>40</v>
      </c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184">
        <v>45819.0</v>
      </c>
      <c r="B68" s="185" t="s">
        <v>56</v>
      </c>
      <c r="C68" s="185">
        <v>14.0</v>
      </c>
      <c r="D68" s="186" t="s">
        <v>40</v>
      </c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A69" s="92"/>
      <c r="B69" s="185" t="s">
        <v>91</v>
      </c>
      <c r="C69" s="185">
        <v>47.0</v>
      </c>
      <c r="D69" s="186" t="s">
        <v>40</v>
      </c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A70" s="92"/>
      <c r="B70" s="185" t="s">
        <v>295</v>
      </c>
      <c r="C70" s="185">
        <v>101.0</v>
      </c>
      <c r="D70" s="186" t="s">
        <v>40</v>
      </c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92"/>
      <c r="B71" s="185" t="s">
        <v>11</v>
      </c>
      <c r="C71" s="185">
        <v>51.0</v>
      </c>
      <c r="D71" s="186" t="s">
        <v>40</v>
      </c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184">
        <v>45820.0</v>
      </c>
      <c r="B72" s="185" t="s">
        <v>89</v>
      </c>
      <c r="C72" s="185">
        <v>15.0</v>
      </c>
      <c r="D72" s="186" t="s">
        <v>40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92"/>
      <c r="B73" s="185" t="s">
        <v>93</v>
      </c>
      <c r="C73" s="185">
        <v>47.0</v>
      </c>
      <c r="D73" s="186" t="s">
        <v>40</v>
      </c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A74" s="184">
        <v>45821.0</v>
      </c>
      <c r="B74" s="185" t="s">
        <v>720</v>
      </c>
      <c r="C74" s="181">
        <f>245+164</f>
        <v>409</v>
      </c>
      <c r="D74" s="186" t="s">
        <v>40</v>
      </c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A75" s="92"/>
      <c r="B75" s="185" t="s">
        <v>721</v>
      </c>
      <c r="C75" s="181">
        <f>-(26+54+70+50+53+54)</f>
        <v>-307</v>
      </c>
      <c r="D75" s="186" t="s">
        <v>40</v>
      </c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92"/>
      <c r="B76" s="185" t="s">
        <v>93</v>
      </c>
      <c r="C76" s="185">
        <v>51.0</v>
      </c>
      <c r="D76" s="186" t="s">
        <v>40</v>
      </c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92"/>
      <c r="B77" s="185" t="s">
        <v>340</v>
      </c>
      <c r="C77" s="185">
        <v>20.0</v>
      </c>
      <c r="D77" s="186" t="s">
        <v>40</v>
      </c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A78" s="92"/>
      <c r="B78" s="185" t="s">
        <v>722</v>
      </c>
      <c r="C78" s="185">
        <v>20.0</v>
      </c>
      <c r="D78" s="186" t="s">
        <v>40</v>
      </c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184">
        <v>45822.0</v>
      </c>
      <c r="B79" s="185" t="s">
        <v>89</v>
      </c>
      <c r="C79" s="185">
        <v>18.0</v>
      </c>
      <c r="D79" s="186" t="s">
        <v>40</v>
      </c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92"/>
      <c r="B80" s="185" t="s">
        <v>723</v>
      </c>
      <c r="C80" s="185">
        <v>38.0</v>
      </c>
      <c r="D80" s="186" t="s">
        <v>40</v>
      </c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A81" s="92"/>
      <c r="B81" s="185" t="s">
        <v>50</v>
      </c>
      <c r="C81" s="185">
        <v>51.0</v>
      </c>
      <c r="D81" s="186" t="s">
        <v>40</v>
      </c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A82" s="92"/>
      <c r="B82" s="185" t="s">
        <v>91</v>
      </c>
      <c r="C82" s="185">
        <v>30.0</v>
      </c>
      <c r="D82" s="186" t="s">
        <v>40</v>
      </c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92"/>
      <c r="B83" s="185" t="s">
        <v>295</v>
      </c>
      <c r="C83" s="185">
        <v>75.0</v>
      </c>
      <c r="D83" s="186" t="s">
        <v>40</v>
      </c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A84" s="92"/>
      <c r="B84" s="185" t="s">
        <v>487</v>
      </c>
      <c r="C84" s="185">
        <v>50.0</v>
      </c>
      <c r="D84" s="186" t="s">
        <v>40</v>
      </c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184">
        <v>45823.0</v>
      </c>
      <c r="B85" s="185" t="s">
        <v>50</v>
      </c>
      <c r="C85" s="185">
        <v>47.0</v>
      </c>
      <c r="D85" s="186" t="s">
        <v>40</v>
      </c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A86" s="92"/>
      <c r="B86" s="185" t="s">
        <v>12</v>
      </c>
      <c r="C86" s="185">
        <v>5000.0</v>
      </c>
      <c r="D86" s="186" t="s">
        <v>12</v>
      </c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92"/>
      <c r="B87" s="185" t="s">
        <v>356</v>
      </c>
      <c r="C87" s="185">
        <v>124.0</v>
      </c>
      <c r="D87" s="186" t="s">
        <v>40</v>
      </c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A88" s="92"/>
      <c r="B88" s="185" t="s">
        <v>723</v>
      </c>
      <c r="C88" s="185">
        <v>35.0</v>
      </c>
      <c r="D88" s="186" t="s">
        <v>40</v>
      </c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184">
        <v>45824.0</v>
      </c>
      <c r="B89" s="185" t="s">
        <v>50</v>
      </c>
      <c r="C89" s="185">
        <v>35.0</v>
      </c>
      <c r="D89" s="186" t="s">
        <v>40</v>
      </c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A90" s="92"/>
      <c r="B90" s="185" t="s">
        <v>56</v>
      </c>
      <c r="C90" s="185">
        <v>14.0</v>
      </c>
      <c r="D90" s="186" t="s">
        <v>40</v>
      </c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92"/>
      <c r="B91" s="185" t="s">
        <v>704</v>
      </c>
      <c r="C91" s="185">
        <v>-39.0</v>
      </c>
      <c r="D91" s="186" t="s">
        <v>40</v>
      </c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A92" s="92"/>
      <c r="B92" s="185" t="s">
        <v>395</v>
      </c>
      <c r="C92" s="185">
        <v>44.0</v>
      </c>
      <c r="D92" s="186" t="s">
        <v>40</v>
      </c>
      <c r="E92" s="185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A93" s="184">
        <v>45825.0</v>
      </c>
      <c r="B93" s="185" t="s">
        <v>89</v>
      </c>
      <c r="C93" s="185">
        <v>15.0</v>
      </c>
      <c r="D93" s="186" t="s">
        <v>40</v>
      </c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A94" s="92"/>
      <c r="B94" s="185" t="s">
        <v>608</v>
      </c>
      <c r="C94" s="185">
        <v>45.0</v>
      </c>
      <c r="D94" s="186" t="s">
        <v>40</v>
      </c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92"/>
      <c r="B95" s="185" t="s">
        <v>598</v>
      </c>
      <c r="C95" s="185">
        <v>24.0</v>
      </c>
      <c r="D95" s="186" t="s">
        <v>40</v>
      </c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A96" s="92"/>
      <c r="B96" s="185" t="s">
        <v>395</v>
      </c>
      <c r="C96" s="185">
        <f>46+49</f>
        <v>95</v>
      </c>
      <c r="D96" s="186" t="s">
        <v>40</v>
      </c>
      <c r="E96" s="185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92"/>
      <c r="B97" s="185" t="s">
        <v>103</v>
      </c>
      <c r="C97" s="185">
        <v>24.0</v>
      </c>
      <c r="D97" s="186" t="s">
        <v>40</v>
      </c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A98" s="92"/>
      <c r="B98" s="185" t="s">
        <v>104</v>
      </c>
      <c r="C98" s="185">
        <v>46.0</v>
      </c>
      <c r="D98" s="186" t="s">
        <v>40</v>
      </c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A99" s="184">
        <v>45826.0</v>
      </c>
      <c r="B99" s="185" t="s">
        <v>89</v>
      </c>
      <c r="C99" s="185">
        <v>22.0</v>
      </c>
      <c r="D99" s="186" t="s">
        <v>40</v>
      </c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92"/>
      <c r="B100" s="185" t="s">
        <v>33</v>
      </c>
      <c r="C100" s="185">
        <v>100.0</v>
      </c>
      <c r="D100" s="186" t="s">
        <v>34</v>
      </c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92"/>
      <c r="B101" s="185" t="s">
        <v>718</v>
      </c>
      <c r="C101" s="185">
        <f>-41-45</f>
        <v>-86</v>
      </c>
      <c r="D101" s="186" t="s">
        <v>40</v>
      </c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A102" s="92"/>
      <c r="B102" s="185" t="s">
        <v>724</v>
      </c>
      <c r="C102" s="185">
        <v>39.0</v>
      </c>
      <c r="D102" s="186" t="s">
        <v>40</v>
      </c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A103" s="92"/>
      <c r="B103" s="185" t="s">
        <v>172</v>
      </c>
      <c r="C103" s="185">
        <v>64.0</v>
      </c>
      <c r="D103" s="186" t="s">
        <v>40</v>
      </c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A104" s="92"/>
      <c r="B104" s="185" t="s">
        <v>705</v>
      </c>
      <c r="C104" s="185">
        <v>-34.0</v>
      </c>
      <c r="D104" s="186" t="s">
        <v>40</v>
      </c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184">
        <v>45827.0</v>
      </c>
      <c r="B105" s="185" t="s">
        <v>145</v>
      </c>
      <c r="C105" s="185">
        <v>40.0</v>
      </c>
      <c r="D105" s="186" t="s">
        <v>40</v>
      </c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92"/>
      <c r="B106" s="185" t="s">
        <v>295</v>
      </c>
      <c r="C106" s="185">
        <v>21.0</v>
      </c>
      <c r="D106" s="186" t="s">
        <v>40</v>
      </c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184">
        <v>45828.0</v>
      </c>
      <c r="B107" s="185" t="s">
        <v>356</v>
      </c>
      <c r="C107" s="185">
        <v>160.0</v>
      </c>
      <c r="D107" s="186" t="s">
        <v>48</v>
      </c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184">
        <v>45829.0</v>
      </c>
      <c r="B108" s="185" t="s">
        <v>50</v>
      </c>
      <c r="C108" s="185">
        <v>59.0</v>
      </c>
      <c r="D108" s="186" t="s">
        <v>40</v>
      </c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92"/>
      <c r="B109" s="185" t="s">
        <v>343</v>
      </c>
      <c r="C109" s="185">
        <v>24.0</v>
      </c>
      <c r="D109" s="186" t="s">
        <v>40</v>
      </c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92"/>
      <c r="B110" s="185" t="s">
        <v>287</v>
      </c>
      <c r="C110" s="185">
        <v>36.0</v>
      </c>
      <c r="D110" s="186" t="s">
        <v>40</v>
      </c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184">
        <v>45830.0</v>
      </c>
      <c r="B111" s="185" t="s">
        <v>50</v>
      </c>
      <c r="C111" s="185">
        <v>30.0</v>
      </c>
      <c r="D111" s="186" t="s">
        <v>40</v>
      </c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92"/>
      <c r="B112" s="185" t="s">
        <v>140</v>
      </c>
      <c r="C112" s="185">
        <v>139.0</v>
      </c>
      <c r="D112" s="186" t="s">
        <v>48</v>
      </c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92"/>
      <c r="B113" s="185" t="s">
        <v>487</v>
      </c>
      <c r="C113" s="185">
        <v>50.0</v>
      </c>
      <c r="D113" s="186" t="s">
        <v>40</v>
      </c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184">
        <v>45831.0</v>
      </c>
      <c r="B114" s="185" t="s">
        <v>32</v>
      </c>
      <c r="C114" s="185">
        <v>129.0</v>
      </c>
      <c r="D114" s="186" t="s">
        <v>40</v>
      </c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92"/>
      <c r="B115" s="185" t="s">
        <v>56</v>
      </c>
      <c r="C115" s="185">
        <v>23.0</v>
      </c>
      <c r="D115" s="186" t="s">
        <v>48</v>
      </c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184">
        <v>45832.0</v>
      </c>
      <c r="B116" s="185" t="s">
        <v>89</v>
      </c>
      <c r="C116" s="185">
        <v>22.0</v>
      </c>
      <c r="D116" s="186" t="s">
        <v>40</v>
      </c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92"/>
      <c r="B117" s="185" t="s">
        <v>725</v>
      </c>
      <c r="C117" s="185">
        <v>80.0</v>
      </c>
      <c r="D117" s="186" t="s">
        <v>40</v>
      </c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92"/>
      <c r="B118" s="185" t="s">
        <v>666</v>
      </c>
      <c r="C118" s="185">
        <v>44.0</v>
      </c>
      <c r="D118" s="186" t="s">
        <v>40</v>
      </c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92"/>
      <c r="B119" s="185" t="s">
        <v>93</v>
      </c>
      <c r="C119" s="185">
        <v>60.0</v>
      </c>
      <c r="D119" s="186" t="s">
        <v>40</v>
      </c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184">
        <v>45833.0</v>
      </c>
      <c r="B120" s="185" t="s">
        <v>726</v>
      </c>
      <c r="C120" s="185">
        <v>41.0</v>
      </c>
      <c r="D120" s="186" t="s">
        <v>40</v>
      </c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92"/>
      <c r="B121" s="185" t="s">
        <v>152</v>
      </c>
      <c r="C121" s="185">
        <v>14.0</v>
      </c>
      <c r="D121" s="186" t="s">
        <v>40</v>
      </c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92"/>
      <c r="B122" s="185" t="s">
        <v>356</v>
      </c>
      <c r="C122" s="185">
        <v>113.0</v>
      </c>
      <c r="D122" s="186" t="s">
        <v>48</v>
      </c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184">
        <v>45834.0</v>
      </c>
      <c r="B123" s="185" t="s">
        <v>37</v>
      </c>
      <c r="C123" s="185">
        <v>50.0</v>
      </c>
      <c r="D123" s="186" t="s">
        <v>40</v>
      </c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92"/>
      <c r="B124" s="185" t="s">
        <v>727</v>
      </c>
      <c r="C124" s="185">
        <v>25.0</v>
      </c>
      <c r="D124" s="186" t="s">
        <v>40</v>
      </c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>
      <c r="A971" s="181"/>
      <c r="B971" s="181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>
      <c r="A972" s="181"/>
      <c r="B972" s="181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>
      <c r="A973" s="181"/>
      <c r="B973" s="181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>
      <c r="A974" s="181"/>
      <c r="B974" s="181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>
      <c r="A975" s="181"/>
      <c r="B975" s="181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>
      <c r="A976" s="181"/>
      <c r="B976" s="181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>
      <c r="A977" s="181"/>
      <c r="B977" s="181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>
      <c r="A978" s="181"/>
      <c r="B978" s="181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>
      <c r="A979" s="181"/>
      <c r="B979" s="181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>
      <c r="A980" s="181"/>
      <c r="B980" s="181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>
      <c r="A981" s="181"/>
      <c r="B981" s="181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>
      <c r="A982" s="181"/>
      <c r="B982" s="181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>
      <c r="A983" s="181"/>
      <c r="B983" s="181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>
      <c r="A984" s="181"/>
      <c r="B984" s="181"/>
      <c r="C984" s="181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>
      <c r="A985" s="181"/>
      <c r="B985" s="181"/>
      <c r="C985" s="181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>
      <c r="A986" s="181"/>
      <c r="B986" s="181"/>
      <c r="C986" s="181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>
      <c r="A987" s="181"/>
      <c r="B987" s="181"/>
      <c r="C987" s="181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>
      <c r="A988" s="181"/>
      <c r="B988" s="181"/>
      <c r="C988" s="181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>
      <c r="A989" s="181"/>
      <c r="B989" s="181"/>
      <c r="C989" s="181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>
      <c r="A990" s="181"/>
      <c r="B990" s="181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>
      <c r="A991" s="181"/>
      <c r="B991" s="181"/>
      <c r="C991" s="181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>
      <c r="A992" s="181"/>
      <c r="B992" s="181"/>
      <c r="C992" s="181"/>
      <c r="D992" s="18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>
      <c r="A993" s="181"/>
      <c r="B993" s="181"/>
      <c r="C993" s="181"/>
      <c r="D993" s="18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>
      <c r="A994" s="181"/>
      <c r="B994" s="181"/>
      <c r="C994" s="181"/>
      <c r="D994" s="18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>
      <c r="A995" s="181"/>
      <c r="B995" s="181"/>
      <c r="C995" s="181"/>
      <c r="D995" s="18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>
      <c r="A996" s="181"/>
      <c r="B996" s="181"/>
      <c r="C996" s="181"/>
      <c r="D996" s="18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>
      <c r="A997" s="181"/>
      <c r="B997" s="181"/>
      <c r="C997" s="181"/>
      <c r="D997" s="18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>
      <c r="A998" s="181"/>
      <c r="B998" s="181"/>
      <c r="C998" s="181"/>
      <c r="D998" s="18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>
      <c r="A999" s="181"/>
      <c r="B999" s="181"/>
      <c r="C999" s="181"/>
      <c r="D999" s="18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>
      <c r="A1000" s="181"/>
      <c r="B1000" s="181"/>
      <c r="C1000" s="181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  <row r="1001">
      <c r="A1001" s="181"/>
      <c r="B1001" s="181"/>
      <c r="C1001" s="181"/>
      <c r="D1001" s="181"/>
      <c r="E1001" s="181"/>
      <c r="F1001" s="181"/>
      <c r="G1001" s="181"/>
      <c r="H1001" s="181"/>
      <c r="I1001" s="181"/>
      <c r="J1001" s="181"/>
      <c r="K1001" s="181"/>
      <c r="L1001" s="181"/>
      <c r="M1001" s="181"/>
      <c r="N1001" s="181"/>
      <c r="O1001" s="181"/>
      <c r="P1001" s="181"/>
      <c r="Q1001" s="181"/>
      <c r="R1001" s="181"/>
      <c r="S1001" s="181"/>
      <c r="T1001" s="181"/>
      <c r="U1001" s="181"/>
      <c r="V1001" s="181"/>
      <c r="W1001" s="181"/>
      <c r="X1001" s="181"/>
      <c r="Y1001" s="181"/>
      <c r="Z1001" s="181"/>
    </row>
    <row r="1002">
      <c r="A1002" s="181"/>
      <c r="B1002" s="181"/>
      <c r="C1002" s="181"/>
      <c r="D1002" s="181"/>
      <c r="E1002" s="181"/>
      <c r="F1002" s="181"/>
      <c r="G1002" s="181"/>
      <c r="H1002" s="181"/>
      <c r="I1002" s="181"/>
      <c r="J1002" s="181"/>
      <c r="K1002" s="181"/>
      <c r="L1002" s="181"/>
      <c r="M1002" s="181"/>
      <c r="N1002" s="181"/>
      <c r="O1002" s="181"/>
      <c r="P1002" s="181"/>
      <c r="Q1002" s="181"/>
      <c r="R1002" s="181"/>
      <c r="S1002" s="181"/>
      <c r="T1002" s="181"/>
      <c r="U1002" s="181"/>
      <c r="V1002" s="181"/>
      <c r="W1002" s="181"/>
      <c r="X1002" s="181"/>
      <c r="Y1002" s="181"/>
      <c r="Z1002" s="181"/>
    </row>
    <row r="1003">
      <c r="A1003" s="181"/>
      <c r="B1003" s="181"/>
      <c r="C1003" s="181"/>
      <c r="D1003" s="181"/>
      <c r="E1003" s="181"/>
      <c r="F1003" s="181"/>
      <c r="G1003" s="181"/>
      <c r="H1003" s="181"/>
      <c r="I1003" s="181"/>
      <c r="J1003" s="181"/>
      <c r="K1003" s="181"/>
      <c r="L1003" s="181"/>
      <c r="M1003" s="181"/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  <c r="X1003" s="181"/>
      <c r="Y1003" s="181"/>
      <c r="Z1003" s="181"/>
    </row>
    <row r="1004">
      <c r="A1004" s="181"/>
      <c r="B1004" s="181"/>
      <c r="C1004" s="181"/>
      <c r="D1004" s="181"/>
      <c r="E1004" s="181"/>
      <c r="F1004" s="181"/>
      <c r="G1004" s="181"/>
      <c r="H1004" s="181"/>
      <c r="I1004" s="181"/>
      <c r="J1004" s="181"/>
      <c r="K1004" s="181"/>
      <c r="L1004" s="181"/>
      <c r="M1004" s="181"/>
      <c r="N1004" s="181"/>
      <c r="O1004" s="181"/>
      <c r="P1004" s="181"/>
      <c r="Q1004" s="181"/>
      <c r="R1004" s="181"/>
      <c r="S1004" s="181"/>
      <c r="T1004" s="181"/>
      <c r="U1004" s="181"/>
      <c r="V1004" s="181"/>
      <c r="W1004" s="181"/>
      <c r="X1004" s="181"/>
      <c r="Y1004" s="181"/>
      <c r="Z1004" s="181"/>
    </row>
    <row r="1005">
      <c r="A1005" s="181"/>
      <c r="B1005" s="181"/>
      <c r="C1005" s="181"/>
      <c r="D1005" s="181"/>
      <c r="E1005" s="181"/>
      <c r="F1005" s="181"/>
      <c r="G1005" s="181"/>
      <c r="H1005" s="181"/>
      <c r="I1005" s="181"/>
      <c r="J1005" s="181"/>
      <c r="K1005" s="181"/>
      <c r="L1005" s="181"/>
      <c r="M1005" s="181"/>
      <c r="N1005" s="181"/>
      <c r="O1005" s="181"/>
      <c r="P1005" s="181"/>
      <c r="Q1005" s="181"/>
      <c r="R1005" s="181"/>
      <c r="S1005" s="181"/>
      <c r="T1005" s="181"/>
      <c r="U1005" s="181"/>
      <c r="V1005" s="181"/>
      <c r="W1005" s="181"/>
      <c r="X1005" s="181"/>
      <c r="Y1005" s="181"/>
      <c r="Z1005" s="181"/>
    </row>
    <row r="1006">
      <c r="A1006" s="181"/>
      <c r="B1006" s="181"/>
      <c r="C1006" s="181"/>
      <c r="D1006" s="181"/>
      <c r="E1006" s="181"/>
      <c r="F1006" s="181"/>
      <c r="G1006" s="181"/>
      <c r="H1006" s="181"/>
      <c r="I1006" s="181"/>
      <c r="J1006" s="181"/>
      <c r="K1006" s="181"/>
      <c r="L1006" s="181"/>
      <c r="M1006" s="181"/>
      <c r="N1006" s="181"/>
      <c r="O1006" s="181"/>
      <c r="P1006" s="181"/>
      <c r="Q1006" s="181"/>
      <c r="R1006" s="181"/>
      <c r="S1006" s="181"/>
      <c r="T1006" s="181"/>
      <c r="U1006" s="181"/>
      <c r="V1006" s="181"/>
      <c r="W1006" s="181"/>
      <c r="X1006" s="181"/>
      <c r="Y1006" s="181"/>
      <c r="Z1006" s="181"/>
    </row>
    <row r="1007">
      <c r="A1007" s="181"/>
      <c r="B1007" s="181"/>
      <c r="C1007" s="181"/>
      <c r="D1007" s="181"/>
      <c r="E1007" s="181"/>
      <c r="F1007" s="181"/>
      <c r="G1007" s="181"/>
      <c r="H1007" s="181"/>
      <c r="I1007" s="181"/>
      <c r="J1007" s="181"/>
      <c r="K1007" s="181"/>
      <c r="L1007" s="181"/>
      <c r="M1007" s="181"/>
      <c r="N1007" s="181"/>
      <c r="O1007" s="181"/>
      <c r="P1007" s="181"/>
      <c r="Q1007" s="181"/>
      <c r="R1007" s="181"/>
      <c r="S1007" s="181"/>
      <c r="T1007" s="181"/>
      <c r="U1007" s="181"/>
      <c r="V1007" s="181"/>
      <c r="W1007" s="181"/>
      <c r="X1007" s="181"/>
      <c r="Y1007" s="181"/>
      <c r="Z1007" s="181"/>
    </row>
    <row r="1008">
      <c r="A1008" s="181"/>
      <c r="B1008" s="181"/>
      <c r="C1008" s="181"/>
      <c r="D1008" s="181"/>
      <c r="E1008" s="181"/>
      <c r="F1008" s="181"/>
      <c r="G1008" s="181"/>
      <c r="H1008" s="181"/>
      <c r="I1008" s="181"/>
      <c r="J1008" s="181"/>
      <c r="K1008" s="181"/>
      <c r="L1008" s="181"/>
      <c r="M1008" s="181"/>
      <c r="N1008" s="181"/>
      <c r="O1008" s="181"/>
      <c r="P1008" s="181"/>
      <c r="Q1008" s="181"/>
      <c r="R1008" s="181"/>
      <c r="S1008" s="181"/>
      <c r="T1008" s="181"/>
      <c r="U1008" s="181"/>
      <c r="V1008" s="181"/>
      <c r="W1008" s="181"/>
      <c r="X1008" s="181"/>
      <c r="Y1008" s="181"/>
      <c r="Z1008" s="181"/>
    </row>
    <row r="1009">
      <c r="A1009" s="181"/>
      <c r="B1009" s="181"/>
      <c r="C1009" s="181"/>
      <c r="D1009" s="181"/>
      <c r="E1009" s="181"/>
      <c r="F1009" s="181"/>
      <c r="G1009" s="181"/>
      <c r="H1009" s="181"/>
      <c r="I1009" s="181"/>
      <c r="J1009" s="181"/>
      <c r="K1009" s="181"/>
      <c r="L1009" s="181"/>
      <c r="M1009" s="181"/>
      <c r="N1009" s="181"/>
      <c r="O1009" s="181"/>
      <c r="P1009" s="181"/>
      <c r="Q1009" s="181"/>
      <c r="R1009" s="181"/>
      <c r="S1009" s="181"/>
      <c r="T1009" s="181"/>
      <c r="U1009" s="181"/>
      <c r="V1009" s="181"/>
      <c r="W1009" s="181"/>
      <c r="X1009" s="181"/>
      <c r="Y1009" s="181"/>
      <c r="Z1009" s="181"/>
    </row>
    <row r="1010">
      <c r="A1010" s="181"/>
      <c r="B1010" s="181"/>
      <c r="C1010" s="181"/>
      <c r="D1010" s="181"/>
      <c r="E1010" s="181"/>
      <c r="F1010" s="181"/>
      <c r="G1010" s="181"/>
      <c r="H1010" s="181"/>
      <c r="I1010" s="181"/>
      <c r="J1010" s="181"/>
      <c r="K1010" s="181"/>
      <c r="L1010" s="181"/>
      <c r="M1010" s="181"/>
      <c r="N1010" s="181"/>
      <c r="O1010" s="181"/>
      <c r="P1010" s="181"/>
      <c r="Q1010" s="181"/>
      <c r="R1010" s="181"/>
      <c r="S1010" s="181"/>
      <c r="T1010" s="181"/>
      <c r="U1010" s="181"/>
      <c r="V1010" s="181"/>
      <c r="W1010" s="181"/>
      <c r="X1010" s="181"/>
      <c r="Y1010" s="181"/>
      <c r="Z1010" s="181"/>
    </row>
    <row r="1011">
      <c r="A1011" s="181"/>
      <c r="B1011" s="181"/>
      <c r="C1011" s="181"/>
      <c r="D1011" s="181"/>
      <c r="E1011" s="181"/>
      <c r="F1011" s="181"/>
      <c r="G1011" s="181"/>
      <c r="H1011" s="181"/>
      <c r="I1011" s="181"/>
      <c r="J1011" s="181"/>
      <c r="K1011" s="181"/>
      <c r="L1011" s="181"/>
      <c r="M1011" s="181"/>
      <c r="N1011" s="181"/>
      <c r="O1011" s="181"/>
      <c r="P1011" s="181"/>
      <c r="Q1011" s="181"/>
      <c r="R1011" s="181"/>
      <c r="S1011" s="181"/>
      <c r="T1011" s="181"/>
      <c r="U1011" s="181"/>
      <c r="V1011" s="181"/>
      <c r="W1011" s="181"/>
      <c r="X1011" s="181"/>
      <c r="Y1011" s="181"/>
      <c r="Z1011" s="181"/>
    </row>
  </sheetData>
  <mergeCells count="37">
    <mergeCell ref="G15:H15"/>
    <mergeCell ref="G16:H16"/>
    <mergeCell ref="G14:H14"/>
    <mergeCell ref="G18:H18"/>
    <mergeCell ref="F24:J24"/>
    <mergeCell ref="A2:A8"/>
    <mergeCell ref="F2:F3"/>
    <mergeCell ref="F4:F5"/>
    <mergeCell ref="A9:A12"/>
    <mergeCell ref="A13:A16"/>
    <mergeCell ref="G13:H13"/>
    <mergeCell ref="G19:H19"/>
    <mergeCell ref="A17:A23"/>
    <mergeCell ref="A24:A26"/>
    <mergeCell ref="A27:A30"/>
    <mergeCell ref="A31:A38"/>
    <mergeCell ref="A39:A42"/>
    <mergeCell ref="A43:A45"/>
    <mergeCell ref="A46:A53"/>
    <mergeCell ref="A54:A60"/>
    <mergeCell ref="A61:A64"/>
    <mergeCell ref="A65:A67"/>
    <mergeCell ref="A68:A71"/>
    <mergeCell ref="A72:A73"/>
    <mergeCell ref="A74:A78"/>
    <mergeCell ref="A79:A84"/>
    <mergeCell ref="A114:A115"/>
    <mergeCell ref="A116:A119"/>
    <mergeCell ref="A120:A122"/>
    <mergeCell ref="A123:A124"/>
    <mergeCell ref="A85:A88"/>
    <mergeCell ref="A89:A92"/>
    <mergeCell ref="A93:A98"/>
    <mergeCell ref="A99:A104"/>
    <mergeCell ref="A105:A106"/>
    <mergeCell ref="A108:A110"/>
    <mergeCell ref="A111:A113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1.38"/>
    <col customWidth="1" min="4" max="4" width="20.25"/>
    <col customWidth="1" min="5" max="5" width="14.88"/>
    <col customWidth="1" min="6" max="6" width="23.25"/>
    <col customWidth="1" min="7" max="7" width="31.63"/>
    <col customWidth="1" min="8" max="8" width="15.88"/>
  </cols>
  <sheetData>
    <row r="1">
      <c r="A1" s="179" t="s">
        <v>24</v>
      </c>
      <c r="B1" s="180" t="s">
        <v>25</v>
      </c>
      <c r="C1" s="180" t="s">
        <v>26</v>
      </c>
      <c r="D1" s="180" t="s">
        <v>27</v>
      </c>
      <c r="E1" s="181"/>
      <c r="F1" s="218" t="s">
        <v>24</v>
      </c>
      <c r="G1" s="218" t="s">
        <v>28</v>
      </c>
      <c r="H1" s="218" t="s">
        <v>26</v>
      </c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184">
        <v>45776.0</v>
      </c>
      <c r="B2" s="185" t="s">
        <v>89</v>
      </c>
      <c r="C2" s="185">
        <v>22.0</v>
      </c>
      <c r="D2" s="186" t="s">
        <v>40</v>
      </c>
      <c r="E2" s="181"/>
      <c r="F2" s="187">
        <v>45776.0</v>
      </c>
      <c r="G2" s="188" t="s">
        <v>728</v>
      </c>
      <c r="H2" s="189">
        <f>4837+59</f>
        <v>4896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A3" s="92"/>
      <c r="B3" s="185" t="s">
        <v>93</v>
      </c>
      <c r="C3" s="185">
        <v>37.0</v>
      </c>
      <c r="D3" s="186" t="s">
        <v>40</v>
      </c>
      <c r="E3" s="181"/>
      <c r="F3" s="92"/>
      <c r="G3" s="185" t="s">
        <v>729</v>
      </c>
      <c r="H3" s="191">
        <v>20000.0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A4" s="92"/>
      <c r="B4" s="185" t="s">
        <v>730</v>
      </c>
      <c r="C4" s="185">
        <v>265.0</v>
      </c>
      <c r="D4" s="186" t="s">
        <v>190</v>
      </c>
      <c r="E4" s="181"/>
      <c r="F4" s="92"/>
      <c r="G4" s="185" t="s">
        <v>202</v>
      </c>
      <c r="H4" s="191">
        <v>200.0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92"/>
      <c r="B5" s="185" t="s">
        <v>120</v>
      </c>
      <c r="C5" s="185">
        <v>28.0</v>
      </c>
      <c r="D5" s="186" t="s">
        <v>40</v>
      </c>
      <c r="E5" s="185"/>
      <c r="F5" s="184">
        <v>45800.0</v>
      </c>
      <c r="G5" s="185" t="s">
        <v>199</v>
      </c>
      <c r="H5" s="191">
        <v>1000.0</v>
      </c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184">
        <v>45777.0</v>
      </c>
      <c r="B6" s="185" t="s">
        <v>305</v>
      </c>
      <c r="C6" s="185">
        <v>63.0</v>
      </c>
      <c r="D6" s="186" t="s">
        <v>40</v>
      </c>
      <c r="E6" s="181"/>
      <c r="F6" s="184">
        <v>45803.0</v>
      </c>
      <c r="G6" s="185" t="s">
        <v>202</v>
      </c>
      <c r="H6" s="191">
        <v>200.0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92"/>
      <c r="B7" s="185" t="s">
        <v>175</v>
      </c>
      <c r="C7" s="185">
        <v>30.0</v>
      </c>
      <c r="D7" s="186" t="s">
        <v>40</v>
      </c>
      <c r="E7" s="181"/>
      <c r="F7" s="184"/>
      <c r="G7" s="181"/>
      <c r="H7" s="192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A8" s="92"/>
      <c r="B8" s="185" t="s">
        <v>148</v>
      </c>
      <c r="C8" s="185">
        <v>46.0</v>
      </c>
      <c r="D8" s="186" t="s">
        <v>40</v>
      </c>
      <c r="E8" s="181"/>
      <c r="F8" s="219"/>
      <c r="G8" s="181"/>
      <c r="H8" s="192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92"/>
      <c r="B9" s="185" t="s">
        <v>93</v>
      </c>
      <c r="C9" s="185">
        <v>83.0</v>
      </c>
      <c r="D9" s="186" t="s">
        <v>40</v>
      </c>
      <c r="E9" s="181"/>
      <c r="F9" s="219"/>
      <c r="G9" s="181"/>
      <c r="H9" s="192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A10" s="184">
        <v>45778.0</v>
      </c>
      <c r="B10" s="185" t="s">
        <v>125</v>
      </c>
      <c r="C10" s="185">
        <v>260.0</v>
      </c>
      <c r="D10" s="186" t="s">
        <v>40</v>
      </c>
      <c r="F10" s="219"/>
      <c r="G10" s="181"/>
      <c r="H10" s="192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92"/>
      <c r="B11" s="185" t="s">
        <v>731</v>
      </c>
      <c r="C11" s="185">
        <v>222.0</v>
      </c>
      <c r="D11" s="186" t="s">
        <v>190</v>
      </c>
      <c r="E11" s="181"/>
      <c r="F11" s="219"/>
      <c r="G11" s="181"/>
      <c r="H11" s="192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A12" s="92"/>
      <c r="B12" s="185" t="s">
        <v>84</v>
      </c>
      <c r="C12" s="185">
        <v>3000.0</v>
      </c>
      <c r="D12" s="186" t="s">
        <v>603</v>
      </c>
      <c r="E12" s="181"/>
      <c r="F12" s="220"/>
      <c r="G12" s="195"/>
      <c r="H12" s="196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92"/>
      <c r="B13" s="185" t="s">
        <v>50</v>
      </c>
      <c r="C13" s="185">
        <v>85.0</v>
      </c>
      <c r="D13" s="186" t="s">
        <v>40</v>
      </c>
      <c r="E13" s="181"/>
      <c r="F13" s="197" t="s">
        <v>49</v>
      </c>
      <c r="G13" s="198">
        <f>SUM(H2:H12)</f>
        <v>26296</v>
      </c>
      <c r="H13" s="27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A14" s="92"/>
      <c r="B14" s="185" t="s">
        <v>37</v>
      </c>
      <c r="C14" s="185">
        <v>55.0</v>
      </c>
      <c r="D14" s="186" t="s">
        <v>40</v>
      </c>
      <c r="E14" s="181"/>
      <c r="F14" s="199" t="s">
        <v>51</v>
      </c>
      <c r="G14" s="200">
        <f>SUM(C2:C206) + G15</f>
        <v>26228</v>
      </c>
      <c r="H14" s="3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A15" s="92"/>
      <c r="B15" s="185" t="s">
        <v>289</v>
      </c>
      <c r="C15" s="185">
        <v>4305.0</v>
      </c>
      <c r="D15" s="186" t="s">
        <v>475</v>
      </c>
      <c r="E15" s="181"/>
      <c r="F15" s="199" t="s">
        <v>707</v>
      </c>
      <c r="G15" s="201">
        <f>4+100+1+543+6+6+1-50</f>
        <v>611</v>
      </c>
      <c r="H15" s="3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92"/>
      <c r="B16" s="185" t="s">
        <v>585</v>
      </c>
      <c r="C16" s="185">
        <v>-65.0</v>
      </c>
      <c r="D16" s="186" t="s">
        <v>40</v>
      </c>
      <c r="E16" s="181"/>
      <c r="F16" s="199" t="s">
        <v>55</v>
      </c>
      <c r="G16" s="201">
        <v>0.0</v>
      </c>
      <c r="H16" s="3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92"/>
      <c r="B17" s="185" t="s">
        <v>587</v>
      </c>
      <c r="C17" s="185">
        <v>-65.0</v>
      </c>
      <c r="D17" s="186" t="s">
        <v>40</v>
      </c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A18" s="92"/>
      <c r="B18" s="185" t="s">
        <v>732</v>
      </c>
      <c r="C18" s="185">
        <v>-100.0</v>
      </c>
      <c r="D18" s="186" t="s">
        <v>40</v>
      </c>
      <c r="E18" s="181"/>
      <c r="F18" s="199" t="s">
        <v>500</v>
      </c>
      <c r="G18" s="202">
        <f>G13-G14-($G29-$H29)</f>
        <v>68</v>
      </c>
      <c r="H18" s="3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A19" s="92"/>
      <c r="B19" s="185" t="s">
        <v>93</v>
      </c>
      <c r="C19" s="185">
        <v>61.0</v>
      </c>
      <c r="D19" s="186" t="s">
        <v>40</v>
      </c>
      <c r="E19" s="181"/>
      <c r="F19" s="199" t="s">
        <v>501</v>
      </c>
      <c r="G19" s="203">
        <f>G13-G14</f>
        <v>68</v>
      </c>
      <c r="H19" s="3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A20" s="184">
        <v>45779.0</v>
      </c>
      <c r="B20" s="185" t="s">
        <v>145</v>
      </c>
      <c r="C20" s="185">
        <v>32.0</v>
      </c>
      <c r="D20" s="186" t="s">
        <v>40</v>
      </c>
      <c r="E20" s="185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92"/>
      <c r="B21" s="185" t="s">
        <v>356</v>
      </c>
      <c r="C21" s="185">
        <v>134.0</v>
      </c>
      <c r="D21" s="186" t="s">
        <v>40</v>
      </c>
      <c r="E21" s="181"/>
      <c r="F21" s="204" t="s">
        <v>62</v>
      </c>
      <c r="G21" s="204" t="s">
        <v>63</v>
      </c>
      <c r="H21" s="204" t="s">
        <v>64</v>
      </c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A22" s="92"/>
      <c r="B22" s="185" t="s">
        <v>148</v>
      </c>
      <c r="C22" s="185">
        <v>28.0</v>
      </c>
      <c r="D22" s="186" t="s">
        <v>40</v>
      </c>
      <c r="E22" s="181"/>
      <c r="F22" s="205" t="s">
        <v>40</v>
      </c>
      <c r="G22" s="206">
        <v>5000.0</v>
      </c>
      <c r="H22" s="207">
        <f>SUMIF(D2:D200, "=Living expense",C2:C200)+G15</f>
        <v>5541</v>
      </c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A23" s="184">
        <v>45780.0</v>
      </c>
      <c r="B23" s="185" t="s">
        <v>160</v>
      </c>
      <c r="C23" s="185">
        <v>40.0</v>
      </c>
      <c r="D23" s="186" t="s">
        <v>40</v>
      </c>
      <c r="E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92"/>
      <c r="B24" s="185" t="s">
        <v>733</v>
      </c>
      <c r="C24" s="185">
        <v>4000.0</v>
      </c>
      <c r="D24" s="186" t="s">
        <v>101</v>
      </c>
      <c r="E24" s="181"/>
      <c r="F24" s="208" t="s">
        <v>67</v>
      </c>
      <c r="G24" s="2"/>
      <c r="H24" s="3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92"/>
      <c r="B25" s="185" t="s">
        <v>172</v>
      </c>
      <c r="C25" s="185">
        <v>45.0</v>
      </c>
      <c r="D25" s="186" t="s">
        <v>40</v>
      </c>
      <c r="E25" s="181"/>
      <c r="F25" s="204" t="s">
        <v>62</v>
      </c>
      <c r="G25" s="204" t="s">
        <v>63</v>
      </c>
      <c r="H25" s="204" t="s">
        <v>64</v>
      </c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A26" s="92"/>
      <c r="B26" s="185" t="s">
        <v>295</v>
      </c>
      <c r="C26" s="185">
        <v>33.0</v>
      </c>
      <c r="D26" s="186" t="s">
        <v>40</v>
      </c>
      <c r="E26" s="181"/>
      <c r="F26" s="209" t="s">
        <v>12</v>
      </c>
      <c r="G26" s="210">
        <v>5000.0</v>
      </c>
      <c r="H26" s="211">
        <f>SUMIF(D3:D216, "=Gonsa",C3:C216)</f>
        <v>5000</v>
      </c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A27" s="92"/>
      <c r="B27" s="185" t="s">
        <v>151</v>
      </c>
      <c r="C27" s="185">
        <v>190.0</v>
      </c>
      <c r="D27" s="186" t="s">
        <v>40</v>
      </c>
      <c r="E27" s="181"/>
      <c r="F27" s="209" t="s">
        <v>475</v>
      </c>
      <c r="G27" s="210">
        <v>4305.0</v>
      </c>
      <c r="H27" s="211">
        <f>SUMIF(D4:D217, "=Rent",C4:C217)</f>
        <v>4305</v>
      </c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A28" s="92"/>
      <c r="B28" s="185" t="s">
        <v>104</v>
      </c>
      <c r="C28" s="185">
        <v>77.0</v>
      </c>
      <c r="D28" s="186" t="s">
        <v>40</v>
      </c>
      <c r="E28" s="181"/>
      <c r="F28" s="214" t="s">
        <v>101</v>
      </c>
      <c r="G28" s="215">
        <v>5665.0</v>
      </c>
      <c r="H28" s="211">
        <f>SUMIF(D5:D218, "=Parent",C5:C218)</f>
        <v>5665</v>
      </c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A29" s="184">
        <v>45781.0</v>
      </c>
      <c r="B29" s="185" t="s">
        <v>175</v>
      </c>
      <c r="C29" s="185">
        <v>30.0</v>
      </c>
      <c r="D29" s="186" t="s">
        <v>40</v>
      </c>
      <c r="E29" s="181"/>
      <c r="F29" s="216" t="s">
        <v>73</v>
      </c>
      <c r="G29" s="217">
        <f t="shared" ref="G29:H29" si="1">SUM(G25:G28)</f>
        <v>14970</v>
      </c>
      <c r="H29" s="217">
        <f t="shared" si="1"/>
        <v>14970</v>
      </c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92"/>
      <c r="B30" s="185" t="s">
        <v>56</v>
      </c>
      <c r="C30" s="185">
        <v>39.0</v>
      </c>
      <c r="D30" s="186" t="s">
        <v>40</v>
      </c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A31" s="92"/>
      <c r="B31" s="185" t="s">
        <v>167</v>
      </c>
      <c r="C31" s="185">
        <v>10.0</v>
      </c>
      <c r="D31" s="186" t="s">
        <v>40</v>
      </c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A32" s="92"/>
      <c r="B32" s="185" t="s">
        <v>172</v>
      </c>
      <c r="C32" s="185">
        <v>25.0</v>
      </c>
      <c r="D32" s="186" t="s">
        <v>40</v>
      </c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184">
        <v>45782.0</v>
      </c>
      <c r="B33" s="185" t="s">
        <v>89</v>
      </c>
      <c r="C33" s="185">
        <v>20.0</v>
      </c>
      <c r="D33" s="186" t="s">
        <v>40</v>
      </c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92"/>
      <c r="B34" s="185" t="s">
        <v>152</v>
      </c>
      <c r="C34" s="185">
        <v>14.0</v>
      </c>
      <c r="D34" s="186" t="s">
        <v>40</v>
      </c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A35" s="92"/>
      <c r="B35" s="185" t="s">
        <v>151</v>
      </c>
      <c r="C35" s="185">
        <v>25.0</v>
      </c>
      <c r="D35" s="186" t="s">
        <v>40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92"/>
      <c r="B36" s="185" t="s">
        <v>286</v>
      </c>
      <c r="C36" s="185">
        <v>76.0</v>
      </c>
      <c r="D36" s="186" t="s">
        <v>40</v>
      </c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92"/>
      <c r="B37" s="185" t="s">
        <v>172</v>
      </c>
      <c r="C37" s="185">
        <v>60.0</v>
      </c>
      <c r="D37" s="186" t="s">
        <v>40</v>
      </c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184">
        <v>45783.0</v>
      </c>
      <c r="B38" s="185" t="s">
        <v>50</v>
      </c>
      <c r="C38" s="185">
        <v>35.0</v>
      </c>
      <c r="D38" s="186" t="s">
        <v>40</v>
      </c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A39" s="92"/>
      <c r="B39" s="185" t="s">
        <v>91</v>
      </c>
      <c r="C39" s="185">
        <v>35.0</v>
      </c>
      <c r="D39" s="186" t="s">
        <v>40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92"/>
      <c r="B40" s="185" t="s">
        <v>295</v>
      </c>
      <c r="C40" s="185">
        <v>88.0</v>
      </c>
      <c r="D40" s="186" t="s">
        <v>40</v>
      </c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A41" s="92"/>
      <c r="B41" s="185" t="s">
        <v>734</v>
      </c>
      <c r="C41" s="185">
        <v>1029.0</v>
      </c>
      <c r="D41" s="186" t="s">
        <v>190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184">
        <v>45784.0</v>
      </c>
      <c r="B42" s="185" t="s">
        <v>152</v>
      </c>
      <c r="C42" s="185">
        <v>14.0</v>
      </c>
      <c r="D42" s="186" t="s">
        <v>40</v>
      </c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A43" s="92"/>
      <c r="B43" s="185" t="s">
        <v>172</v>
      </c>
      <c r="C43" s="185">
        <v>57.0</v>
      </c>
      <c r="D43" s="186" t="s">
        <v>40</v>
      </c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92"/>
      <c r="B44" s="185" t="s">
        <v>592</v>
      </c>
      <c r="C44" s="185">
        <v>1500.0</v>
      </c>
      <c r="D44" s="186" t="s">
        <v>34</v>
      </c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184">
        <v>45785.0</v>
      </c>
      <c r="B45" s="185" t="s">
        <v>152</v>
      </c>
      <c r="C45" s="185">
        <v>22.0</v>
      </c>
      <c r="D45" s="186" t="s">
        <v>40</v>
      </c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A46" s="92"/>
      <c r="B46" s="185" t="s">
        <v>172</v>
      </c>
      <c r="C46" s="185">
        <v>57.0</v>
      </c>
      <c r="D46" s="186" t="s">
        <v>40</v>
      </c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92"/>
      <c r="B47" s="185" t="s">
        <v>735</v>
      </c>
      <c r="C47" s="185">
        <v>395.0</v>
      </c>
      <c r="D47" s="186" t="s">
        <v>40</v>
      </c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A48" s="92"/>
      <c r="B48" s="185" t="s">
        <v>295</v>
      </c>
      <c r="C48" s="185">
        <v>38.0</v>
      </c>
      <c r="D48" s="186" t="s">
        <v>40</v>
      </c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184">
        <v>45786.0</v>
      </c>
      <c r="B49" s="185" t="s">
        <v>50</v>
      </c>
      <c r="C49" s="185">
        <v>60.0</v>
      </c>
      <c r="D49" s="186" t="s">
        <v>40</v>
      </c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92"/>
      <c r="B50" s="185" t="s">
        <v>93</v>
      </c>
      <c r="C50" s="185">
        <v>57.0</v>
      </c>
      <c r="D50" s="186" t="s">
        <v>40</v>
      </c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92"/>
      <c r="B51" s="185" t="s">
        <v>736</v>
      </c>
      <c r="C51" s="185">
        <v>68.0</v>
      </c>
      <c r="D51" s="186" t="s">
        <v>40</v>
      </c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A52" s="184">
        <v>45787.0</v>
      </c>
      <c r="B52" s="185" t="s">
        <v>89</v>
      </c>
      <c r="C52" s="185">
        <v>15.0</v>
      </c>
      <c r="D52" s="186" t="s">
        <v>40</v>
      </c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92"/>
      <c r="B53" s="185" t="s">
        <v>687</v>
      </c>
      <c r="C53" s="185">
        <v>38.0</v>
      </c>
      <c r="D53" s="186" t="s">
        <v>40</v>
      </c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92"/>
      <c r="B54" s="185" t="s">
        <v>437</v>
      </c>
      <c r="C54" s="185">
        <v>6.0</v>
      </c>
      <c r="D54" s="186" t="s">
        <v>40</v>
      </c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A55" s="92"/>
      <c r="B55" s="185" t="s">
        <v>37</v>
      </c>
      <c r="C55" s="185">
        <v>50.0</v>
      </c>
      <c r="D55" s="186" t="s">
        <v>40</v>
      </c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92"/>
      <c r="B56" s="185" t="s">
        <v>112</v>
      </c>
      <c r="C56" s="185">
        <v>62.0</v>
      </c>
      <c r="D56" s="186" t="s">
        <v>40</v>
      </c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A57" s="92"/>
      <c r="B57" s="185" t="s">
        <v>737</v>
      </c>
      <c r="C57" s="185">
        <v>915.0</v>
      </c>
      <c r="D57" s="186" t="s">
        <v>101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A58" s="92"/>
      <c r="B58" s="185" t="s">
        <v>295</v>
      </c>
      <c r="C58" s="185">
        <v>18.0</v>
      </c>
      <c r="D58" s="186" t="s">
        <v>40</v>
      </c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A59" s="184">
        <v>45788.0</v>
      </c>
      <c r="B59" s="185" t="s">
        <v>318</v>
      </c>
      <c r="C59" s="185">
        <v>25.0</v>
      </c>
      <c r="D59" s="186" t="s">
        <v>40</v>
      </c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92"/>
      <c r="B60" s="185" t="s">
        <v>738</v>
      </c>
      <c r="C60" s="185">
        <v>58.0</v>
      </c>
      <c r="D60" s="186" t="s">
        <v>40</v>
      </c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92"/>
      <c r="B61" s="185" t="s">
        <v>739</v>
      </c>
      <c r="C61" s="185">
        <v>15.0</v>
      </c>
      <c r="D61" s="186" t="s">
        <v>40</v>
      </c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92"/>
      <c r="B62" s="185" t="s">
        <v>286</v>
      </c>
      <c r="C62" s="185">
        <v>54.0</v>
      </c>
      <c r="D62" s="186" t="s">
        <v>40</v>
      </c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92"/>
      <c r="B63" s="185" t="s">
        <v>430</v>
      </c>
      <c r="C63" s="185">
        <v>320.0</v>
      </c>
      <c r="D63" s="186" t="s">
        <v>101</v>
      </c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92"/>
      <c r="B64" s="185" t="s">
        <v>740</v>
      </c>
      <c r="C64" s="185">
        <v>780.0</v>
      </c>
      <c r="D64" s="186" t="s">
        <v>190</v>
      </c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A65" s="92"/>
      <c r="B65" s="185" t="s">
        <v>323</v>
      </c>
      <c r="C65" s="185">
        <v>52.0</v>
      </c>
      <c r="D65" s="186" t="s">
        <v>40</v>
      </c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184">
        <v>45789.0</v>
      </c>
      <c r="B66" s="185" t="s">
        <v>518</v>
      </c>
      <c r="C66" s="185">
        <v>72.0</v>
      </c>
      <c r="D66" s="186" t="s">
        <v>40</v>
      </c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92"/>
      <c r="B67" s="185" t="s">
        <v>86</v>
      </c>
      <c r="C67" s="185">
        <v>430.0</v>
      </c>
      <c r="D67" s="186" t="s">
        <v>101</v>
      </c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92"/>
      <c r="B68" s="185" t="s">
        <v>91</v>
      </c>
      <c r="C68" s="185">
        <v>57.0</v>
      </c>
      <c r="D68" s="186" t="s">
        <v>40</v>
      </c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A69" s="184">
        <v>45790.0</v>
      </c>
      <c r="B69" s="185" t="s">
        <v>89</v>
      </c>
      <c r="C69" s="185">
        <v>15.0</v>
      </c>
      <c r="D69" s="186" t="s">
        <v>40</v>
      </c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A70" s="92"/>
      <c r="B70" s="185" t="s">
        <v>152</v>
      </c>
      <c r="C70" s="185">
        <v>33.0</v>
      </c>
      <c r="D70" s="186" t="s">
        <v>40</v>
      </c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92"/>
      <c r="B71" s="185" t="s">
        <v>395</v>
      </c>
      <c r="C71" s="185">
        <v>161.0</v>
      </c>
      <c r="D71" s="186" t="s">
        <v>40</v>
      </c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92"/>
      <c r="B72" s="185" t="s">
        <v>704</v>
      </c>
      <c r="C72" s="185">
        <v>-49.0</v>
      </c>
      <c r="D72" s="186" t="s">
        <v>40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92"/>
      <c r="B73" s="185" t="s">
        <v>61</v>
      </c>
      <c r="C73" s="185">
        <v>16.0</v>
      </c>
      <c r="D73" s="186" t="s">
        <v>40</v>
      </c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A74" s="184">
        <v>45791.0</v>
      </c>
      <c r="B74" s="185" t="s">
        <v>61</v>
      </c>
      <c r="C74" s="185">
        <v>16.0</v>
      </c>
      <c r="D74" s="186" t="s">
        <v>40</v>
      </c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A75" s="92"/>
      <c r="B75" s="185" t="s">
        <v>702</v>
      </c>
      <c r="C75" s="185">
        <v>-32.0</v>
      </c>
      <c r="D75" s="186" t="s">
        <v>40</v>
      </c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92"/>
      <c r="B76" s="185" t="s">
        <v>594</v>
      </c>
      <c r="C76" s="185">
        <v>-1000.0</v>
      </c>
      <c r="D76" s="186" t="s">
        <v>34</v>
      </c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92"/>
      <c r="B77" s="185" t="s">
        <v>741</v>
      </c>
      <c r="C77" s="185">
        <v>20.0</v>
      </c>
      <c r="D77" s="186" t="s">
        <v>34</v>
      </c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A78" s="92"/>
      <c r="B78" s="185" t="s">
        <v>705</v>
      </c>
      <c r="C78" s="185">
        <v>-50.0</v>
      </c>
      <c r="D78" s="186" t="s">
        <v>40</v>
      </c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92"/>
      <c r="B79" s="185" t="s">
        <v>742</v>
      </c>
      <c r="C79" s="185">
        <v>52.0</v>
      </c>
      <c r="D79" s="186" t="s">
        <v>40</v>
      </c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184">
        <v>45792.0</v>
      </c>
      <c r="B80" s="185" t="s">
        <v>594</v>
      </c>
      <c r="C80" s="185">
        <v>-500.0</v>
      </c>
      <c r="D80" s="186" t="s">
        <v>40</v>
      </c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A81" s="92"/>
      <c r="B81" s="185" t="s">
        <v>89</v>
      </c>
      <c r="C81" s="185">
        <v>15.0</v>
      </c>
      <c r="D81" s="186" t="s">
        <v>40</v>
      </c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A82" s="92"/>
      <c r="B82" s="185" t="s">
        <v>743</v>
      </c>
      <c r="C82" s="185">
        <v>-68.0</v>
      </c>
      <c r="D82" s="186" t="s">
        <v>40</v>
      </c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92"/>
      <c r="B83" s="185" t="s">
        <v>744</v>
      </c>
      <c r="C83" s="185">
        <v>71.0</v>
      </c>
      <c r="D83" s="186" t="s">
        <v>40</v>
      </c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A84" s="92"/>
      <c r="B84" s="185" t="s">
        <v>12</v>
      </c>
      <c r="C84" s="185">
        <v>5000.0</v>
      </c>
      <c r="D84" s="186" t="s">
        <v>12</v>
      </c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92"/>
      <c r="B85" s="185" t="s">
        <v>438</v>
      </c>
      <c r="C85" s="185">
        <v>30.0</v>
      </c>
      <c r="D85" s="186" t="s">
        <v>40</v>
      </c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A86" s="92"/>
      <c r="B86" s="185" t="s">
        <v>553</v>
      </c>
      <c r="C86" s="185">
        <v>-300.0</v>
      </c>
      <c r="D86" s="186" t="s">
        <v>34</v>
      </c>
      <c r="E86" s="185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184">
        <v>45793.0</v>
      </c>
      <c r="B87" s="185" t="s">
        <v>745</v>
      </c>
      <c r="C87" s="185">
        <v>534.0</v>
      </c>
      <c r="D87" s="186" t="s">
        <v>40</v>
      </c>
      <c r="E87" s="185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A88" s="92"/>
      <c r="B88" s="185" t="s">
        <v>746</v>
      </c>
      <c r="C88" s="185">
        <f>-313-76</f>
        <v>-389</v>
      </c>
      <c r="D88" s="186" t="s">
        <v>40</v>
      </c>
      <c r="E88" s="185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92"/>
      <c r="B89" s="185" t="s">
        <v>747</v>
      </c>
      <c r="C89" s="185">
        <v>376.0</v>
      </c>
      <c r="D89" s="186" t="s">
        <v>34</v>
      </c>
      <c r="E89" s="185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A90" s="92"/>
      <c r="B90" s="185" t="s">
        <v>704</v>
      </c>
      <c r="C90" s="185">
        <v>-155.0</v>
      </c>
      <c r="D90" s="186" t="s">
        <v>34</v>
      </c>
      <c r="E90" s="185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92"/>
      <c r="B91" s="185" t="s">
        <v>748</v>
      </c>
      <c r="C91" s="185">
        <v>-221.0</v>
      </c>
      <c r="D91" s="186" t="s">
        <v>40</v>
      </c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A92" s="92"/>
      <c r="B92" s="185" t="s">
        <v>356</v>
      </c>
      <c r="C92" s="185">
        <v>94.0</v>
      </c>
      <c r="D92" s="186" t="s">
        <v>40</v>
      </c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A93" s="184">
        <v>45794.0</v>
      </c>
      <c r="B93" s="185" t="s">
        <v>229</v>
      </c>
      <c r="C93" s="185">
        <v>57.0</v>
      </c>
      <c r="D93" s="186" t="s">
        <v>40</v>
      </c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A94" s="92"/>
      <c r="B94" s="185" t="s">
        <v>295</v>
      </c>
      <c r="C94" s="185">
        <v>48.0</v>
      </c>
      <c r="D94" s="186" t="s">
        <v>40</v>
      </c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92"/>
      <c r="B95" s="185" t="s">
        <v>463</v>
      </c>
      <c r="C95" s="185">
        <v>25.0</v>
      </c>
      <c r="D95" s="186" t="s">
        <v>40</v>
      </c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A96" s="184">
        <v>45795.0</v>
      </c>
      <c r="B96" s="185" t="s">
        <v>89</v>
      </c>
      <c r="C96" s="185">
        <v>15.0</v>
      </c>
      <c r="D96" s="186" t="s">
        <v>40</v>
      </c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92"/>
      <c r="B97" s="185" t="s">
        <v>50</v>
      </c>
      <c r="C97" s="185">
        <v>59.0</v>
      </c>
      <c r="D97" s="186" t="s">
        <v>40</v>
      </c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A98" s="92"/>
      <c r="B98" s="185" t="s">
        <v>270</v>
      </c>
      <c r="C98" s="185">
        <v>190.0</v>
      </c>
      <c r="D98" s="186" t="s">
        <v>40</v>
      </c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A99" s="92"/>
      <c r="B99" s="185" t="s">
        <v>93</v>
      </c>
      <c r="C99" s="185">
        <v>52.0</v>
      </c>
      <c r="D99" s="186" t="s">
        <v>40</v>
      </c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92"/>
      <c r="B100" s="185" t="s">
        <v>749</v>
      </c>
      <c r="C100" s="185">
        <v>-20.0</v>
      </c>
      <c r="D100" s="186" t="s">
        <v>34</v>
      </c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184">
        <v>45796.0</v>
      </c>
      <c r="B101" s="185" t="s">
        <v>89</v>
      </c>
      <c r="C101" s="185">
        <v>15.0</v>
      </c>
      <c r="D101" s="186" t="s">
        <v>40</v>
      </c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A102" s="92"/>
      <c r="B102" s="185" t="s">
        <v>750</v>
      </c>
      <c r="C102" s="185">
        <v>33.0</v>
      </c>
      <c r="D102" s="186" t="s">
        <v>40</v>
      </c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A103" s="92"/>
      <c r="B103" s="185" t="s">
        <v>395</v>
      </c>
      <c r="C103" s="185">
        <v>90.0</v>
      </c>
      <c r="D103" s="186" t="s">
        <v>40</v>
      </c>
      <c r="E103" s="185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A104" s="92"/>
      <c r="B104" s="185" t="s">
        <v>608</v>
      </c>
      <c r="C104" s="185">
        <v>36.0</v>
      </c>
      <c r="D104" s="186" t="s">
        <v>40</v>
      </c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184">
        <v>45797.0</v>
      </c>
      <c r="B105" s="185" t="s">
        <v>89</v>
      </c>
      <c r="C105" s="185">
        <v>20.0</v>
      </c>
      <c r="D105" s="186" t="s">
        <v>40</v>
      </c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92"/>
      <c r="B106" s="185" t="s">
        <v>152</v>
      </c>
      <c r="C106" s="185">
        <v>12.0</v>
      </c>
      <c r="D106" s="186" t="s">
        <v>40</v>
      </c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92"/>
      <c r="B107" s="185" t="s">
        <v>395</v>
      </c>
      <c r="C107" s="185">
        <v>145.0</v>
      </c>
      <c r="D107" s="186" t="s">
        <v>40</v>
      </c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92"/>
      <c r="B108" s="185" t="s">
        <v>751</v>
      </c>
      <c r="C108" s="185">
        <v>-39.0</v>
      </c>
      <c r="D108" s="186" t="s">
        <v>40</v>
      </c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92"/>
      <c r="B109" s="185" t="s">
        <v>705</v>
      </c>
      <c r="C109" s="185">
        <v>-37.0</v>
      </c>
      <c r="D109" s="186" t="s">
        <v>40</v>
      </c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92"/>
      <c r="B110" s="185" t="s">
        <v>295</v>
      </c>
      <c r="C110" s="185">
        <v>37.0</v>
      </c>
      <c r="D110" s="186" t="s">
        <v>40</v>
      </c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184">
        <v>45798.0</v>
      </c>
      <c r="B111" s="185" t="s">
        <v>50</v>
      </c>
      <c r="C111" s="185">
        <v>40.0</v>
      </c>
      <c r="D111" s="186" t="s">
        <v>40</v>
      </c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92"/>
      <c r="B112" s="185" t="s">
        <v>91</v>
      </c>
      <c r="C112" s="185">
        <v>58.0</v>
      </c>
      <c r="D112" s="186" t="s">
        <v>40</v>
      </c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92"/>
      <c r="B113" s="185" t="s">
        <v>295</v>
      </c>
      <c r="C113" s="185">
        <v>26.0</v>
      </c>
      <c r="D113" s="186" t="s">
        <v>40</v>
      </c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184">
        <v>45799.0</v>
      </c>
      <c r="B114" s="185" t="s">
        <v>704</v>
      </c>
      <c r="C114" s="185">
        <v>-39.0</v>
      </c>
      <c r="D114" s="186" t="s">
        <v>40</v>
      </c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92"/>
      <c r="B115" s="185" t="s">
        <v>705</v>
      </c>
      <c r="C115" s="185">
        <v>-35.0</v>
      </c>
      <c r="D115" s="186" t="s">
        <v>40</v>
      </c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92"/>
      <c r="B116" s="185" t="s">
        <v>91</v>
      </c>
      <c r="C116" s="185">
        <f>91-35</f>
        <v>56</v>
      </c>
      <c r="D116" s="186" t="s">
        <v>40</v>
      </c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92"/>
      <c r="B117" s="185" t="s">
        <v>752</v>
      </c>
      <c r="C117" s="185">
        <v>68.0</v>
      </c>
      <c r="D117" s="186" t="s">
        <v>40</v>
      </c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184">
        <v>45800.0</v>
      </c>
      <c r="B118" s="185" t="s">
        <v>50</v>
      </c>
      <c r="C118" s="185">
        <v>26.0</v>
      </c>
      <c r="D118" s="186" t="s">
        <v>40</v>
      </c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92"/>
      <c r="B119" s="185" t="s">
        <v>140</v>
      </c>
      <c r="C119" s="185">
        <v>299.0</v>
      </c>
      <c r="D119" s="186" t="s">
        <v>40</v>
      </c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92"/>
      <c r="B120" s="185" t="s">
        <v>309</v>
      </c>
      <c r="C120" s="181">
        <f>199+78</f>
        <v>277</v>
      </c>
      <c r="D120" s="186" t="s">
        <v>40</v>
      </c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184">
        <v>45801.0</v>
      </c>
      <c r="B121" s="185" t="s">
        <v>61</v>
      </c>
      <c r="C121" s="185">
        <v>65.0</v>
      </c>
      <c r="D121" s="186" t="s">
        <v>40</v>
      </c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92"/>
      <c r="B122" s="185" t="s">
        <v>235</v>
      </c>
      <c r="C122" s="185">
        <v>15.0</v>
      </c>
      <c r="D122" s="186" t="s">
        <v>40</v>
      </c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92"/>
      <c r="B123" s="185" t="s">
        <v>61</v>
      </c>
      <c r="C123" s="185">
        <v>25.0</v>
      </c>
      <c r="D123" s="186" t="s">
        <v>40</v>
      </c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92"/>
      <c r="B124" s="185" t="s">
        <v>152</v>
      </c>
      <c r="C124" s="185">
        <v>40.0</v>
      </c>
      <c r="D124" s="186" t="s">
        <v>40</v>
      </c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92"/>
      <c r="B125" s="185" t="s">
        <v>753</v>
      </c>
      <c r="C125" s="185">
        <v>40.0</v>
      </c>
      <c r="D125" s="186" t="s">
        <v>40</v>
      </c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184">
        <v>45802.0</v>
      </c>
      <c r="B126" s="185" t="s">
        <v>50</v>
      </c>
      <c r="C126" s="185">
        <v>30.0</v>
      </c>
      <c r="D126" s="186" t="s">
        <v>40</v>
      </c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92"/>
      <c r="B127" s="185" t="s">
        <v>52</v>
      </c>
      <c r="C127" s="185">
        <v>40.0</v>
      </c>
      <c r="D127" s="186" t="s">
        <v>40</v>
      </c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92"/>
      <c r="B128" s="185" t="s">
        <v>754</v>
      </c>
      <c r="C128" s="185">
        <v>27.0</v>
      </c>
      <c r="D128" s="186" t="s">
        <v>40</v>
      </c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92"/>
      <c r="B129" s="185" t="s">
        <v>755</v>
      </c>
      <c r="C129" s="185">
        <f>61+31</f>
        <v>92</v>
      </c>
      <c r="D129" s="186" t="s">
        <v>40</v>
      </c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92"/>
      <c r="B130" s="185" t="s">
        <v>395</v>
      </c>
      <c r="C130" s="185">
        <v>101.0</v>
      </c>
      <c r="D130" s="186" t="s">
        <v>40</v>
      </c>
      <c r="E130" s="185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92"/>
      <c r="B131" s="185" t="s">
        <v>756</v>
      </c>
      <c r="C131" s="185">
        <v>-72.0</v>
      </c>
      <c r="D131" s="186" t="s">
        <v>40</v>
      </c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92"/>
      <c r="B132" s="185" t="s">
        <v>395</v>
      </c>
      <c r="C132" s="185">
        <v>101.0</v>
      </c>
      <c r="D132" s="186" t="s">
        <v>40</v>
      </c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184">
        <v>45803.0</v>
      </c>
      <c r="B133" s="185" t="s">
        <v>89</v>
      </c>
      <c r="C133" s="185">
        <v>22.0</v>
      </c>
      <c r="D133" s="186" t="s">
        <v>40</v>
      </c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92"/>
      <c r="B134" s="185" t="s">
        <v>91</v>
      </c>
      <c r="C134" s="185">
        <v>30.0</v>
      </c>
      <c r="D134" s="186" t="s">
        <v>40</v>
      </c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92"/>
      <c r="B135" s="185" t="s">
        <v>295</v>
      </c>
      <c r="C135" s="185">
        <v>50.0</v>
      </c>
      <c r="D135" s="186" t="s">
        <v>40</v>
      </c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92"/>
      <c r="B136" s="185" t="s">
        <v>491</v>
      </c>
      <c r="C136" s="185">
        <v>20.0</v>
      </c>
      <c r="D136" s="186" t="s">
        <v>40</v>
      </c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184">
        <v>45804.0</v>
      </c>
      <c r="B137" s="185" t="s">
        <v>395</v>
      </c>
      <c r="C137" s="185">
        <v>121.0</v>
      </c>
      <c r="D137" s="186" t="s">
        <v>40</v>
      </c>
      <c r="E137" s="185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92"/>
      <c r="B138" s="185" t="s">
        <v>37</v>
      </c>
      <c r="C138" s="185">
        <v>50.0</v>
      </c>
      <c r="D138" s="186" t="s">
        <v>40</v>
      </c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184">
        <v>45805.0</v>
      </c>
      <c r="B139" s="185" t="s">
        <v>705</v>
      </c>
      <c r="C139" s="185">
        <v>-34.0</v>
      </c>
      <c r="D139" s="186" t="s">
        <v>40</v>
      </c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92"/>
      <c r="B140" s="185" t="s">
        <v>757</v>
      </c>
      <c r="C140" s="185">
        <v>-101.0</v>
      </c>
      <c r="D140" s="186" t="s">
        <v>40</v>
      </c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92"/>
      <c r="B141" s="185" t="s">
        <v>395</v>
      </c>
      <c r="C141" s="185">
        <v>57.0</v>
      </c>
      <c r="D141" s="186" t="s">
        <v>40</v>
      </c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92"/>
      <c r="B142" s="185" t="s">
        <v>295</v>
      </c>
      <c r="C142" s="185">
        <v>83.0</v>
      </c>
      <c r="D142" s="186" t="s">
        <v>40</v>
      </c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181"/>
      <c r="B143" s="181"/>
      <c r="C143" s="181"/>
      <c r="D143" s="186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181"/>
      <c r="B144" s="181"/>
      <c r="C144" s="181"/>
      <c r="D144" s="186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181"/>
      <c r="B145" s="181"/>
      <c r="C145" s="181"/>
      <c r="D145" s="186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181"/>
      <c r="B146" s="181"/>
      <c r="C146" s="181"/>
      <c r="D146" s="186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1"/>
      <c r="B147" s="181"/>
      <c r="C147" s="181"/>
      <c r="D147" s="186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81"/>
      <c r="B148" s="181"/>
      <c r="C148" s="181"/>
      <c r="D148" s="186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181"/>
      <c r="B149" s="181"/>
      <c r="C149" s="181"/>
      <c r="D149" s="186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181"/>
      <c r="B150" s="181"/>
      <c r="C150" s="181"/>
      <c r="D150" s="22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181"/>
      <c r="B151" s="181"/>
      <c r="C151" s="181"/>
      <c r="D151" s="22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1"/>
      <c r="B152" s="181"/>
      <c r="C152" s="181"/>
      <c r="D152" s="22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181"/>
      <c r="B153" s="181"/>
      <c r="C153" s="181"/>
      <c r="D153" s="22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181"/>
      <c r="B154" s="181"/>
      <c r="C154" s="181"/>
      <c r="D154" s="22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181"/>
      <c r="B155" s="181"/>
      <c r="C155" s="181"/>
      <c r="D155" s="22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181"/>
      <c r="B156" s="181"/>
      <c r="C156" s="181"/>
      <c r="D156" s="22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181"/>
      <c r="B157" s="181"/>
      <c r="C157" s="181"/>
      <c r="D157" s="22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181"/>
      <c r="B158" s="181"/>
      <c r="C158" s="181"/>
      <c r="D158" s="22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1"/>
      <c r="B159" s="181"/>
      <c r="C159" s="181"/>
      <c r="D159" s="22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1"/>
      <c r="B160" s="181"/>
      <c r="C160" s="181"/>
      <c r="D160" s="22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1"/>
      <c r="B161" s="181"/>
      <c r="C161" s="181"/>
      <c r="D161" s="22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1"/>
      <c r="B162" s="181"/>
      <c r="C162" s="181"/>
      <c r="D162" s="22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1"/>
      <c r="B163" s="181"/>
      <c r="C163" s="181"/>
      <c r="D163" s="22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1"/>
      <c r="B164" s="181"/>
      <c r="C164" s="181"/>
      <c r="D164" s="22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1"/>
      <c r="B165" s="181"/>
      <c r="C165" s="181"/>
      <c r="D165" s="22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22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22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22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22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22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22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22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22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22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22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22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22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22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22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22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22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22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22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22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22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22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22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22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22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22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22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22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22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22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22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22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22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22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22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22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22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22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22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22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22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22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22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22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22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22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22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22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22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22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22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22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22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22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22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22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22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22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22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22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22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22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22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22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22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22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22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22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22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22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22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22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22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22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22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22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22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22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22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22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22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22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22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22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22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22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22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22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22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22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22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22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22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22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22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22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22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22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22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22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22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22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22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22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22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22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22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22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22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22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22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22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22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22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22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22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22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22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22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22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22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22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22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22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22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22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22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22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22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22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22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22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22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22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22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22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22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22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22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22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22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22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22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22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22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22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22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22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22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22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22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22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22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22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22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22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22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22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22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22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22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22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22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22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22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22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22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22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22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22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22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22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22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22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22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22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22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22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22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22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22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22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22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22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22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22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22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22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22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22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22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22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22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22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22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22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22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22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22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22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22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22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22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22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22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22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22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22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22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22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22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22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22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22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22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22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22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22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22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22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22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22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22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22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22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22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22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22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22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22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22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22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22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22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22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22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22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22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22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22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22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22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22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22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22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22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22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22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22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22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22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22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22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22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22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22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22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22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22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22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22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22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22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22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22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22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22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22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22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22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22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22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22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22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22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22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22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22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22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22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22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22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22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22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22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22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22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22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22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22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22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22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22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22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22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22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22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22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22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22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22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22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22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22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22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22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22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22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22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22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22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22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22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22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22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22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22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22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22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22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22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22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22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22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22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22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22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22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22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22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22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22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22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22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22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22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22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22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22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22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22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22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22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22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22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22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22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22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22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22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22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22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22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22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22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22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22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22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22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22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22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22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22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22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22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22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22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22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22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22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22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22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22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22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22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22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22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22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22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22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22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22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22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22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22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22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22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22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22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22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22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22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22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22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22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22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22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22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22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22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22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22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22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22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22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22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22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22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22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22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22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22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22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22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22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22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22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22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22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22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22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22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22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22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22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22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22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22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22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22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22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22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22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22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22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22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22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22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22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22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22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22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22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22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22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22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22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22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22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22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22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22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22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22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22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22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22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22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22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22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22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22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22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22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22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22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22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22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22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22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22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22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22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22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22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22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22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22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22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22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22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22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22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22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22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22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22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22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22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22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22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22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22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22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22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22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22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22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22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22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22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22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22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22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22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22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22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22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22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22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22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22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22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22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22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22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22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22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22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22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22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22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22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22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22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22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22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22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22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22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22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22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22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22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22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22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22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22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22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22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22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22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22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22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22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22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22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22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22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22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22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22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22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22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22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22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22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22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22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22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22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22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22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22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22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22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22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22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22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22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22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22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22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22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22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22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22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22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22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22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22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22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22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22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22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22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22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22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22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22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22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22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22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22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22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22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22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22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22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22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22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22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22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22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22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22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22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22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22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22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22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22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22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22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22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22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22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22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22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22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22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22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22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22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22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22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22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22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22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22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22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22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22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22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22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22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22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22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22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22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22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22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22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22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22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22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22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22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22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22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22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22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22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22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22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22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22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22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22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22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22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22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22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22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22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22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22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22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22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22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22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22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22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22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22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22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22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22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22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22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22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22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22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22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22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22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22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22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22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22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22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22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22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22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22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22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22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22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22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22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22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22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22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22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22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22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22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22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22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22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22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22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22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22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22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22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22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22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22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22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22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22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22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22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22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22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22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22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22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22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22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22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22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22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22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22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22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22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22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22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22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22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22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22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22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22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22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22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22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22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22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22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22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22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22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22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22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22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22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22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22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22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22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22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22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22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22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22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22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22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22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181"/>
      <c r="D936" s="22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181"/>
      <c r="B937" s="181"/>
      <c r="C937" s="181"/>
      <c r="D937" s="22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181"/>
      <c r="B938" s="181"/>
      <c r="C938" s="181"/>
      <c r="D938" s="22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181"/>
      <c r="B939" s="181"/>
      <c r="C939" s="181"/>
      <c r="D939" s="22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181"/>
      <c r="B940" s="181"/>
      <c r="C940" s="181"/>
      <c r="D940" s="22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181"/>
      <c r="B941" s="181"/>
      <c r="C941" s="181"/>
      <c r="D941" s="22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181"/>
      <c r="B942" s="181"/>
      <c r="C942" s="181"/>
      <c r="D942" s="22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181"/>
      <c r="B943" s="181"/>
      <c r="C943" s="181"/>
      <c r="D943" s="22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181"/>
      <c r="B944" s="181"/>
      <c r="C944" s="181"/>
      <c r="D944" s="22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181"/>
      <c r="B945" s="181"/>
      <c r="C945" s="181"/>
      <c r="D945" s="22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181"/>
      <c r="B946" s="181"/>
      <c r="C946" s="181"/>
      <c r="D946" s="22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181"/>
      <c r="B947" s="181"/>
      <c r="C947" s="181"/>
      <c r="D947" s="22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181"/>
      <c r="B948" s="181"/>
      <c r="C948" s="181"/>
      <c r="D948" s="22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181"/>
      <c r="B949" s="181"/>
      <c r="C949" s="181"/>
      <c r="D949" s="22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181"/>
      <c r="B950" s="181"/>
      <c r="C950" s="181"/>
      <c r="D950" s="22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181"/>
      <c r="B951" s="181"/>
      <c r="C951" s="181"/>
      <c r="D951" s="22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181"/>
      <c r="B952" s="181"/>
      <c r="C952" s="181"/>
      <c r="D952" s="22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181"/>
      <c r="B953" s="181"/>
      <c r="C953" s="181"/>
      <c r="D953" s="22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181"/>
      <c r="B954" s="181"/>
      <c r="C954" s="181"/>
      <c r="D954" s="22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181"/>
      <c r="B955" s="181"/>
      <c r="C955" s="181"/>
      <c r="D955" s="22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181"/>
      <c r="B956" s="181"/>
      <c r="C956" s="181"/>
      <c r="D956" s="22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181"/>
      <c r="B957" s="181"/>
      <c r="C957" s="181"/>
      <c r="D957" s="22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181"/>
      <c r="B958" s="181"/>
      <c r="C958" s="181"/>
      <c r="D958" s="22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181"/>
      <c r="B959" s="181"/>
      <c r="C959" s="181"/>
      <c r="D959" s="22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181"/>
      <c r="B960" s="181"/>
      <c r="C960" s="181"/>
      <c r="D960" s="22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181"/>
      <c r="B961" s="181"/>
      <c r="C961" s="181"/>
      <c r="D961" s="22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181"/>
      <c r="B962" s="181"/>
      <c r="C962" s="181"/>
      <c r="D962" s="22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181"/>
      <c r="B963" s="181"/>
      <c r="C963" s="181"/>
      <c r="D963" s="22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181"/>
      <c r="B964" s="181"/>
      <c r="C964" s="181"/>
      <c r="D964" s="22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181"/>
      <c r="B965" s="181"/>
      <c r="C965" s="181"/>
      <c r="D965" s="22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181"/>
      <c r="B966" s="181"/>
      <c r="C966" s="181"/>
      <c r="D966" s="22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181"/>
      <c r="B967" s="181"/>
      <c r="C967" s="181"/>
      <c r="D967" s="22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181"/>
      <c r="B968" s="181"/>
      <c r="C968" s="181"/>
      <c r="D968" s="22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181"/>
      <c r="B969" s="181"/>
      <c r="C969" s="181"/>
      <c r="D969" s="22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181"/>
      <c r="B970" s="181"/>
      <c r="C970" s="181"/>
      <c r="D970" s="22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>
      <c r="A971" s="181"/>
      <c r="B971" s="181"/>
      <c r="C971" s="181"/>
      <c r="D971" s="22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>
      <c r="A972" s="181"/>
      <c r="B972" s="181"/>
      <c r="C972" s="181"/>
      <c r="D972" s="22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>
      <c r="A973" s="181"/>
      <c r="B973" s="181"/>
      <c r="C973" s="181"/>
      <c r="D973" s="22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>
      <c r="A974" s="181"/>
      <c r="B974" s="181"/>
      <c r="C974" s="181"/>
      <c r="D974" s="22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>
      <c r="A975" s="181"/>
      <c r="B975" s="181"/>
      <c r="C975" s="181"/>
      <c r="D975" s="22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>
      <c r="A976" s="181"/>
      <c r="B976" s="181"/>
      <c r="C976" s="181"/>
      <c r="D976" s="22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>
      <c r="A977" s="181"/>
      <c r="B977" s="181"/>
      <c r="C977" s="181"/>
      <c r="D977" s="22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>
      <c r="A978" s="181"/>
      <c r="B978" s="181"/>
      <c r="C978" s="181"/>
      <c r="D978" s="22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>
      <c r="A979" s="181"/>
      <c r="B979" s="181"/>
      <c r="C979" s="181"/>
      <c r="D979" s="22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>
      <c r="A980" s="181"/>
      <c r="B980" s="181"/>
      <c r="C980" s="181"/>
      <c r="D980" s="22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>
      <c r="A981" s="181"/>
      <c r="B981" s="181"/>
      <c r="C981" s="181"/>
      <c r="D981" s="22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>
      <c r="A982" s="181"/>
      <c r="B982" s="181"/>
      <c r="C982" s="181"/>
      <c r="D982" s="22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>
      <c r="A983" s="181"/>
      <c r="B983" s="181"/>
      <c r="C983" s="181"/>
      <c r="D983" s="22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>
      <c r="A984" s="181"/>
      <c r="B984" s="181"/>
      <c r="C984" s="181"/>
      <c r="D984" s="22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>
      <c r="A985" s="181"/>
      <c r="B985" s="181"/>
      <c r="C985" s="181"/>
      <c r="D985" s="22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>
      <c r="A986" s="181"/>
      <c r="B986" s="181"/>
      <c r="C986" s="181"/>
      <c r="D986" s="22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>
      <c r="A987" s="181"/>
      <c r="B987" s="181"/>
      <c r="C987" s="181"/>
      <c r="D987" s="22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>
      <c r="A988" s="181"/>
      <c r="B988" s="181"/>
      <c r="C988" s="181"/>
      <c r="D988" s="22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>
      <c r="A989" s="181"/>
      <c r="B989" s="181"/>
      <c r="C989" s="181"/>
      <c r="D989" s="22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>
      <c r="A990" s="181"/>
      <c r="B990" s="181"/>
      <c r="C990" s="181"/>
      <c r="D990" s="22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>
      <c r="A991" s="181"/>
      <c r="B991" s="181"/>
      <c r="C991" s="181"/>
      <c r="D991" s="22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>
      <c r="A992" s="181"/>
      <c r="B992" s="181"/>
      <c r="C992" s="181"/>
      <c r="D992" s="22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>
      <c r="A993" s="181"/>
      <c r="B993" s="181"/>
      <c r="C993" s="181"/>
      <c r="D993" s="22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>
      <c r="A994" s="181"/>
      <c r="B994" s="181"/>
      <c r="C994" s="181"/>
      <c r="D994" s="22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>
      <c r="A995" s="181"/>
      <c r="B995" s="181"/>
      <c r="C995" s="181"/>
      <c r="D995" s="22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>
      <c r="A996" s="181"/>
      <c r="B996" s="181"/>
      <c r="C996" s="181"/>
      <c r="D996" s="22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>
      <c r="A997" s="181"/>
      <c r="B997" s="181"/>
      <c r="C997" s="181"/>
      <c r="D997" s="22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>
      <c r="A998" s="181"/>
      <c r="B998" s="181"/>
      <c r="C998" s="181"/>
      <c r="D998" s="22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>
      <c r="A999" s="181"/>
      <c r="B999" s="181"/>
      <c r="C999" s="181"/>
      <c r="D999" s="22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>
      <c r="A1000" s="181"/>
      <c r="B1000" s="181"/>
      <c r="C1000" s="181"/>
      <c r="D1000" s="22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  <row r="1001">
      <c r="A1001" s="181"/>
      <c r="B1001" s="181"/>
      <c r="C1001" s="181"/>
      <c r="D1001" s="221"/>
      <c r="E1001" s="181"/>
      <c r="F1001" s="181"/>
      <c r="G1001" s="181"/>
      <c r="H1001" s="181"/>
      <c r="I1001" s="181"/>
      <c r="J1001" s="181"/>
      <c r="K1001" s="181"/>
      <c r="L1001" s="181"/>
      <c r="M1001" s="181"/>
      <c r="N1001" s="181"/>
      <c r="O1001" s="181"/>
      <c r="P1001" s="181"/>
      <c r="Q1001" s="181"/>
      <c r="R1001" s="181"/>
      <c r="S1001" s="181"/>
      <c r="T1001" s="181"/>
      <c r="U1001" s="181"/>
      <c r="V1001" s="181"/>
      <c r="W1001" s="181"/>
      <c r="X1001" s="181"/>
      <c r="Y1001" s="181"/>
      <c r="Z1001" s="181"/>
    </row>
    <row r="1002">
      <c r="A1002" s="181"/>
      <c r="B1002" s="181"/>
      <c r="C1002" s="181"/>
      <c r="D1002" s="221"/>
      <c r="E1002" s="181"/>
      <c r="F1002" s="181"/>
      <c r="G1002" s="181"/>
      <c r="H1002" s="181"/>
      <c r="I1002" s="181"/>
      <c r="J1002" s="181"/>
      <c r="K1002" s="181"/>
      <c r="L1002" s="181"/>
      <c r="M1002" s="181"/>
      <c r="N1002" s="181"/>
      <c r="O1002" s="181"/>
      <c r="P1002" s="181"/>
      <c r="Q1002" s="181"/>
      <c r="R1002" s="181"/>
      <c r="S1002" s="181"/>
      <c r="T1002" s="181"/>
      <c r="U1002" s="181"/>
      <c r="V1002" s="181"/>
      <c r="W1002" s="181"/>
      <c r="X1002" s="181"/>
      <c r="Y1002" s="181"/>
      <c r="Z1002" s="181"/>
    </row>
    <row r="1003">
      <c r="A1003" s="181"/>
      <c r="B1003" s="181"/>
      <c r="C1003" s="181"/>
      <c r="D1003" s="221"/>
      <c r="E1003" s="181"/>
      <c r="F1003" s="181"/>
      <c r="G1003" s="181"/>
      <c r="H1003" s="181"/>
      <c r="I1003" s="181"/>
      <c r="J1003" s="181"/>
      <c r="K1003" s="181"/>
      <c r="L1003" s="181"/>
      <c r="M1003" s="181"/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  <c r="X1003" s="181"/>
      <c r="Y1003" s="181"/>
      <c r="Z1003" s="181"/>
    </row>
    <row r="1004">
      <c r="A1004" s="181"/>
      <c r="B1004" s="181"/>
      <c r="C1004" s="181"/>
      <c r="D1004" s="221"/>
      <c r="E1004" s="181"/>
      <c r="F1004" s="181"/>
      <c r="G1004" s="181"/>
      <c r="H1004" s="181"/>
      <c r="I1004" s="181"/>
      <c r="J1004" s="181"/>
      <c r="K1004" s="181"/>
      <c r="L1004" s="181"/>
      <c r="M1004" s="181"/>
      <c r="N1004" s="181"/>
      <c r="O1004" s="181"/>
      <c r="P1004" s="181"/>
      <c r="Q1004" s="181"/>
      <c r="R1004" s="181"/>
      <c r="S1004" s="181"/>
      <c r="T1004" s="181"/>
      <c r="U1004" s="181"/>
      <c r="V1004" s="181"/>
      <c r="W1004" s="181"/>
      <c r="X1004" s="181"/>
      <c r="Y1004" s="181"/>
      <c r="Z1004" s="181"/>
    </row>
    <row r="1005">
      <c r="A1005" s="181"/>
      <c r="B1005" s="181"/>
      <c r="C1005" s="181"/>
      <c r="D1005" s="221"/>
      <c r="E1005" s="181"/>
      <c r="F1005" s="181"/>
      <c r="G1005" s="181"/>
      <c r="H1005" s="181"/>
      <c r="I1005" s="181"/>
      <c r="J1005" s="181"/>
      <c r="K1005" s="181"/>
      <c r="L1005" s="181"/>
      <c r="M1005" s="181"/>
      <c r="N1005" s="181"/>
      <c r="O1005" s="181"/>
      <c r="P1005" s="181"/>
      <c r="Q1005" s="181"/>
      <c r="R1005" s="181"/>
      <c r="S1005" s="181"/>
      <c r="T1005" s="181"/>
      <c r="U1005" s="181"/>
      <c r="V1005" s="181"/>
      <c r="W1005" s="181"/>
      <c r="X1005" s="181"/>
      <c r="Y1005" s="181"/>
      <c r="Z1005" s="181"/>
    </row>
    <row r="1006">
      <c r="A1006" s="181"/>
      <c r="B1006" s="181"/>
      <c r="C1006" s="181"/>
      <c r="D1006" s="221"/>
      <c r="E1006" s="181"/>
      <c r="F1006" s="181"/>
      <c r="G1006" s="181"/>
      <c r="H1006" s="181"/>
      <c r="I1006" s="181"/>
      <c r="J1006" s="181"/>
      <c r="K1006" s="181"/>
      <c r="L1006" s="181"/>
      <c r="M1006" s="181"/>
      <c r="N1006" s="181"/>
      <c r="O1006" s="181"/>
      <c r="P1006" s="181"/>
      <c r="Q1006" s="181"/>
      <c r="R1006" s="181"/>
      <c r="S1006" s="181"/>
      <c r="T1006" s="181"/>
      <c r="U1006" s="181"/>
      <c r="V1006" s="181"/>
      <c r="W1006" s="181"/>
      <c r="X1006" s="181"/>
      <c r="Y1006" s="181"/>
      <c r="Z1006" s="181"/>
    </row>
  </sheetData>
  <mergeCells count="38">
    <mergeCell ref="G16:H16"/>
    <mergeCell ref="G18:H18"/>
    <mergeCell ref="F24:H24"/>
    <mergeCell ref="A2:A5"/>
    <mergeCell ref="F2:F4"/>
    <mergeCell ref="A6:A9"/>
    <mergeCell ref="G13:H13"/>
    <mergeCell ref="G14:H14"/>
    <mergeCell ref="G15:H15"/>
    <mergeCell ref="G19:H19"/>
    <mergeCell ref="A10:A19"/>
    <mergeCell ref="A20:A22"/>
    <mergeCell ref="A23:A28"/>
    <mergeCell ref="A29:A32"/>
    <mergeCell ref="A33:A37"/>
    <mergeCell ref="A38:A41"/>
    <mergeCell ref="A42:A44"/>
    <mergeCell ref="A45:A48"/>
    <mergeCell ref="A49:A51"/>
    <mergeCell ref="A52:A58"/>
    <mergeCell ref="A59:A65"/>
    <mergeCell ref="A66:A68"/>
    <mergeCell ref="A69:A73"/>
    <mergeCell ref="A74:A79"/>
    <mergeCell ref="A114:A117"/>
    <mergeCell ref="A118:A120"/>
    <mergeCell ref="A121:A125"/>
    <mergeCell ref="A126:A132"/>
    <mergeCell ref="A133:A136"/>
    <mergeCell ref="A137:A138"/>
    <mergeCell ref="A139:A142"/>
    <mergeCell ref="A80:A86"/>
    <mergeCell ref="A87:A92"/>
    <mergeCell ref="A93:A95"/>
    <mergeCell ref="A96:A100"/>
    <mergeCell ref="A101:A104"/>
    <mergeCell ref="A105:A110"/>
    <mergeCell ref="A111:A11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75"/>
    <col customWidth="1" min="4" max="4" width="16.88"/>
    <col customWidth="1" min="5" max="5" width="13.88"/>
    <col customWidth="1" min="6" max="6" width="23.88"/>
    <col customWidth="1" min="7" max="7" width="24.13"/>
  </cols>
  <sheetData>
    <row r="1">
      <c r="A1" s="179" t="s">
        <v>24</v>
      </c>
      <c r="B1" s="180" t="s">
        <v>25</v>
      </c>
      <c r="C1" s="180" t="s">
        <v>26</v>
      </c>
      <c r="D1" s="180" t="s">
        <v>27</v>
      </c>
      <c r="E1" s="181"/>
      <c r="F1" s="222" t="s">
        <v>24</v>
      </c>
      <c r="G1" s="222" t="s">
        <v>28</v>
      </c>
      <c r="H1" s="222" t="s">
        <v>26</v>
      </c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184">
        <v>45744.0</v>
      </c>
      <c r="B2" s="185" t="s">
        <v>758</v>
      </c>
      <c r="C2" s="185">
        <v>547.0</v>
      </c>
      <c r="D2" s="186" t="s">
        <v>40</v>
      </c>
      <c r="E2" s="181"/>
      <c r="F2" s="187">
        <v>45744.0</v>
      </c>
      <c r="G2" s="188" t="s">
        <v>759</v>
      </c>
      <c r="H2" s="189">
        <v>8.0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A3" s="92"/>
      <c r="B3" s="185" t="s">
        <v>151</v>
      </c>
      <c r="C3" s="185">
        <v>28.0</v>
      </c>
      <c r="D3" s="186" t="s">
        <v>40</v>
      </c>
      <c r="E3" s="181"/>
      <c r="F3" s="184">
        <v>45745.0</v>
      </c>
      <c r="G3" s="185" t="s">
        <v>760</v>
      </c>
      <c r="H3" s="191">
        <v>20000.0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A4" s="92"/>
      <c r="B4" s="185" t="s">
        <v>148</v>
      </c>
      <c r="C4" s="185">
        <v>54.0</v>
      </c>
      <c r="D4" s="186" t="s">
        <v>40</v>
      </c>
      <c r="E4" s="181"/>
      <c r="F4" s="184">
        <v>45751.0</v>
      </c>
      <c r="G4" s="185" t="s">
        <v>761</v>
      </c>
      <c r="H4" s="191">
        <v>2000.0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92"/>
      <c r="B5" s="185" t="s">
        <v>84</v>
      </c>
      <c r="C5" s="185">
        <v>2200.0</v>
      </c>
      <c r="D5" s="186" t="s">
        <v>603</v>
      </c>
      <c r="E5" s="181"/>
      <c r="F5" s="92"/>
      <c r="G5" s="185" t="s">
        <v>227</v>
      </c>
      <c r="H5" s="191">
        <v>500.0</v>
      </c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184">
        <v>45745.0</v>
      </c>
      <c r="B6" s="185" t="s">
        <v>89</v>
      </c>
      <c r="C6" s="185">
        <v>20.0</v>
      </c>
      <c r="D6" s="186" t="s">
        <v>40</v>
      </c>
      <c r="E6" s="181"/>
      <c r="F6" s="184">
        <v>45754.0</v>
      </c>
      <c r="G6" s="185" t="s">
        <v>761</v>
      </c>
      <c r="H6" s="191">
        <v>2000.0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92"/>
      <c r="B7" s="185" t="s">
        <v>437</v>
      </c>
      <c r="C7" s="185">
        <v>7.0</v>
      </c>
      <c r="D7" s="186" t="s">
        <v>40</v>
      </c>
      <c r="E7" s="181"/>
      <c r="F7" s="184">
        <v>45755.0</v>
      </c>
      <c r="G7" s="185" t="s">
        <v>762</v>
      </c>
      <c r="H7" s="191">
        <v>593.0</v>
      </c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A8" s="92"/>
      <c r="B8" s="185" t="s">
        <v>148</v>
      </c>
      <c r="C8" s="185">
        <v>85.0</v>
      </c>
      <c r="D8" s="186" t="s">
        <v>40</v>
      </c>
      <c r="E8" s="181"/>
      <c r="F8" s="184">
        <v>45762.0</v>
      </c>
      <c r="G8" s="185" t="s">
        <v>199</v>
      </c>
      <c r="H8" s="191">
        <v>3000.0</v>
      </c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92"/>
      <c r="B9" s="185" t="s">
        <v>356</v>
      </c>
      <c r="C9" s="185">
        <v>159.0</v>
      </c>
      <c r="D9" s="186" t="s">
        <v>40</v>
      </c>
      <c r="E9" s="181"/>
      <c r="F9" s="184">
        <v>45764.0</v>
      </c>
      <c r="G9" s="185" t="s">
        <v>763</v>
      </c>
      <c r="H9" s="191">
        <v>3435.0</v>
      </c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A10" s="92"/>
      <c r="B10" s="185" t="s">
        <v>764</v>
      </c>
      <c r="C10" s="185">
        <v>196.0</v>
      </c>
      <c r="D10" s="186" t="s">
        <v>190</v>
      </c>
      <c r="E10" s="181"/>
      <c r="F10" s="184">
        <v>45767.0</v>
      </c>
      <c r="G10" s="185" t="s">
        <v>761</v>
      </c>
      <c r="H10" s="191">
        <v>1000.0</v>
      </c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92"/>
      <c r="B11" s="185" t="s">
        <v>765</v>
      </c>
      <c r="C11" s="185">
        <v>1000.0</v>
      </c>
      <c r="D11" s="186" t="s">
        <v>34</v>
      </c>
      <c r="E11" s="181"/>
      <c r="F11" s="184">
        <v>45771.0</v>
      </c>
      <c r="G11" s="185" t="s">
        <v>202</v>
      </c>
      <c r="H11" s="191">
        <v>200.0</v>
      </c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A12" s="184">
        <v>45746.0</v>
      </c>
      <c r="B12" s="185" t="s">
        <v>89</v>
      </c>
      <c r="C12" s="185">
        <v>60.0</v>
      </c>
      <c r="D12" s="186" t="s">
        <v>40</v>
      </c>
      <c r="E12" s="181"/>
      <c r="F12" s="184">
        <v>45772.0</v>
      </c>
      <c r="G12" s="223" t="s">
        <v>766</v>
      </c>
      <c r="H12" s="224">
        <v>4000.0</v>
      </c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92"/>
      <c r="B13" s="185" t="s">
        <v>514</v>
      </c>
      <c r="C13" s="185">
        <v>457.0</v>
      </c>
      <c r="D13" s="186" t="s">
        <v>40</v>
      </c>
      <c r="E13" s="181"/>
      <c r="F13" s="199" t="s">
        <v>49</v>
      </c>
      <c r="G13" s="201">
        <f>SUM(H2:H12)</f>
        <v>36736</v>
      </c>
      <c r="H13" s="3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A14" s="92"/>
      <c r="B14" s="185" t="s">
        <v>50</v>
      </c>
      <c r="C14" s="185">
        <v>165.0</v>
      </c>
      <c r="D14" s="186" t="s">
        <v>40</v>
      </c>
      <c r="E14" s="181"/>
      <c r="F14" s="199" t="s">
        <v>51</v>
      </c>
      <c r="G14" s="200">
        <f>SUM(C2:C201) + G15</f>
        <v>34710</v>
      </c>
      <c r="H14" s="3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A15" s="92"/>
      <c r="B15" s="185" t="s">
        <v>767</v>
      </c>
      <c r="C15" s="185">
        <v>83.0</v>
      </c>
      <c r="D15" s="186" t="s">
        <v>40</v>
      </c>
      <c r="E15" s="181"/>
      <c r="F15" s="199" t="s">
        <v>707</v>
      </c>
      <c r="G15" s="201">
        <f>240</f>
        <v>240</v>
      </c>
      <c r="H15" s="3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92"/>
      <c r="B16" s="185" t="s">
        <v>140</v>
      </c>
      <c r="C16" s="185">
        <v>259.0</v>
      </c>
      <c r="D16" s="186" t="s">
        <v>40</v>
      </c>
      <c r="E16" s="181"/>
      <c r="F16" s="199" t="s">
        <v>55</v>
      </c>
      <c r="G16" s="201">
        <v>0.0</v>
      </c>
      <c r="H16" s="3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184">
        <v>45747.0</v>
      </c>
      <c r="B17" s="185" t="s">
        <v>89</v>
      </c>
      <c r="C17" s="185">
        <v>20.0</v>
      </c>
      <c r="D17" s="186" t="s">
        <v>40</v>
      </c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A18" s="92"/>
      <c r="B18" s="185" t="s">
        <v>152</v>
      </c>
      <c r="C18" s="185">
        <v>14.0</v>
      </c>
      <c r="D18" s="186" t="s">
        <v>40</v>
      </c>
      <c r="E18" s="181"/>
      <c r="F18" s="199" t="s">
        <v>500</v>
      </c>
      <c r="G18" s="202">
        <f>G13-G14-($G30-$H30)</f>
        <v>2026</v>
      </c>
      <c r="H18" s="3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A19" s="92"/>
      <c r="B19" s="185" t="s">
        <v>356</v>
      </c>
      <c r="C19" s="185">
        <v>98.0</v>
      </c>
      <c r="D19" s="186" t="s">
        <v>40</v>
      </c>
      <c r="E19" s="181"/>
      <c r="F19" s="199" t="s">
        <v>501</v>
      </c>
      <c r="G19" s="203">
        <f>G13-G14</f>
        <v>2026</v>
      </c>
      <c r="H19" s="3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A20" s="92"/>
      <c r="B20" s="185" t="s">
        <v>768</v>
      </c>
      <c r="C20" s="185">
        <v>40.0</v>
      </c>
      <c r="D20" s="186" t="s">
        <v>40</v>
      </c>
      <c r="E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92"/>
      <c r="B21" s="185" t="s">
        <v>125</v>
      </c>
      <c r="C21" s="185">
        <v>260.0</v>
      </c>
      <c r="D21" s="186" t="s">
        <v>40</v>
      </c>
      <c r="E21" s="181"/>
      <c r="F21" s="204" t="s">
        <v>62</v>
      </c>
      <c r="G21" s="204" t="s">
        <v>63</v>
      </c>
      <c r="H21" s="204" t="s">
        <v>64</v>
      </c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A22" s="184">
        <v>45748.0</v>
      </c>
      <c r="B22" s="185" t="s">
        <v>152</v>
      </c>
      <c r="C22" s="185">
        <v>23.0</v>
      </c>
      <c r="D22" s="186" t="s">
        <v>40</v>
      </c>
      <c r="E22" s="181"/>
      <c r="F22" s="205" t="s">
        <v>40</v>
      </c>
      <c r="G22" s="206">
        <v>5000.0</v>
      </c>
      <c r="H22" s="207">
        <f>SUMIF(D2:D100, "=Living expense",C2:C118)</f>
        <v>5695</v>
      </c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A23" s="92"/>
      <c r="B23" s="185" t="s">
        <v>769</v>
      </c>
      <c r="C23" s="185">
        <v>330.0</v>
      </c>
      <c r="D23" s="186" t="s">
        <v>40</v>
      </c>
      <c r="E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92"/>
      <c r="B24" s="185" t="s">
        <v>152</v>
      </c>
      <c r="C24" s="185">
        <v>42.0</v>
      </c>
      <c r="D24" s="186" t="s">
        <v>40</v>
      </c>
      <c r="E24" s="181"/>
      <c r="F24" s="208" t="s">
        <v>67</v>
      </c>
      <c r="G24" s="2"/>
      <c r="H24" s="3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92"/>
      <c r="B25" s="185" t="s">
        <v>585</v>
      </c>
      <c r="C25" s="185">
        <v>-65.0</v>
      </c>
      <c r="D25" s="186" t="s">
        <v>40</v>
      </c>
      <c r="E25" s="181"/>
      <c r="F25" s="204" t="s">
        <v>62</v>
      </c>
      <c r="G25" s="204" t="s">
        <v>63</v>
      </c>
      <c r="H25" s="204" t="s">
        <v>64</v>
      </c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A26" s="92"/>
      <c r="B26" s="185" t="s">
        <v>175</v>
      </c>
      <c r="C26" s="185">
        <v>60.0</v>
      </c>
      <c r="D26" s="186" t="s">
        <v>40</v>
      </c>
      <c r="E26" s="181"/>
      <c r="F26" s="214" t="s">
        <v>770</v>
      </c>
      <c r="G26" s="215">
        <v>3221.0</v>
      </c>
      <c r="H26" s="213">
        <f>SUMIF(D3:D211, "=Laptop",C3:C211)</f>
        <v>3221</v>
      </c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A27" s="92"/>
      <c r="B27" s="185" t="s">
        <v>771</v>
      </c>
      <c r="C27" s="185">
        <v>128.0</v>
      </c>
      <c r="D27" s="186" t="s">
        <v>40</v>
      </c>
      <c r="E27" s="181"/>
      <c r="F27" s="209" t="s">
        <v>12</v>
      </c>
      <c r="G27" s="210">
        <v>5000.0</v>
      </c>
      <c r="H27" s="211">
        <f>SUMIF(D4:D212, "=Gonsa",C4:C212)</f>
        <v>5000</v>
      </c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A28" s="92"/>
      <c r="B28" s="185" t="s">
        <v>107</v>
      </c>
      <c r="C28" s="185">
        <v>78.0</v>
      </c>
      <c r="D28" s="186" t="s">
        <v>40</v>
      </c>
      <c r="E28" s="181"/>
      <c r="F28" s="209" t="s">
        <v>475</v>
      </c>
      <c r="G28" s="210">
        <v>4083.0</v>
      </c>
      <c r="H28" s="211">
        <f>SUMIF(D5:D213, "=Rent",C5:C213)</f>
        <v>4083</v>
      </c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A29" s="92"/>
      <c r="B29" s="185" t="s">
        <v>148</v>
      </c>
      <c r="C29" s="185">
        <v>35.0</v>
      </c>
      <c r="D29" s="186" t="s">
        <v>40</v>
      </c>
      <c r="E29" s="181"/>
      <c r="F29" s="214" t="s">
        <v>101</v>
      </c>
      <c r="G29" s="215">
        <v>2000.0</v>
      </c>
      <c r="H29" s="215">
        <f>SUMIF(D5:D213, "=Parent",C5:C213)</f>
        <v>4667</v>
      </c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92"/>
      <c r="B30" s="185" t="s">
        <v>66</v>
      </c>
      <c r="C30" s="185">
        <v>4083.0</v>
      </c>
      <c r="D30" s="186" t="s">
        <v>475</v>
      </c>
      <c r="E30" s="181"/>
      <c r="F30" s="214" t="s">
        <v>374</v>
      </c>
      <c r="G30" s="215">
        <v>3435.0</v>
      </c>
      <c r="H30" s="213">
        <f>SUMIF(D5:D213, "=Tax",C5:C213)</f>
        <v>3435</v>
      </c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A31" s="92"/>
      <c r="B31" s="185" t="s">
        <v>587</v>
      </c>
      <c r="C31" s="185">
        <v>-65.0</v>
      </c>
      <c r="D31" s="186" t="s">
        <v>40</v>
      </c>
      <c r="E31" s="181"/>
      <c r="F31" s="216" t="s">
        <v>73</v>
      </c>
      <c r="G31" s="217">
        <f t="shared" ref="G31:H31" si="1">SUM(G25:G30)</f>
        <v>17739</v>
      </c>
      <c r="H31" s="217">
        <f t="shared" si="1"/>
        <v>20406</v>
      </c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A32" s="92"/>
      <c r="B32" s="185" t="s">
        <v>703</v>
      </c>
      <c r="C32" s="185">
        <v>-510.0</v>
      </c>
      <c r="D32" s="186" t="s">
        <v>40</v>
      </c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184">
        <v>45749.0</v>
      </c>
      <c r="B33" s="185" t="s">
        <v>770</v>
      </c>
      <c r="C33" s="185">
        <v>3221.0</v>
      </c>
      <c r="D33" s="186" t="s">
        <v>770</v>
      </c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92"/>
      <c r="B34" s="185" t="s">
        <v>152</v>
      </c>
      <c r="C34" s="185">
        <v>48.0</v>
      </c>
      <c r="D34" s="186" t="s">
        <v>40</v>
      </c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A35" s="92"/>
      <c r="B35" s="185" t="s">
        <v>702</v>
      </c>
      <c r="C35" s="185">
        <v>-23.0</v>
      </c>
      <c r="D35" s="186" t="s">
        <v>40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92"/>
      <c r="B36" s="185" t="s">
        <v>93</v>
      </c>
      <c r="C36" s="185">
        <v>72.0</v>
      </c>
      <c r="D36" s="186" t="s">
        <v>40</v>
      </c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92"/>
      <c r="B37" s="185" t="s">
        <v>764</v>
      </c>
      <c r="C37" s="185">
        <v>196.0</v>
      </c>
      <c r="D37" s="186" t="s">
        <v>190</v>
      </c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184">
        <v>45750.0</v>
      </c>
      <c r="B38" s="185" t="s">
        <v>592</v>
      </c>
      <c r="C38" s="185">
        <v>1000.0</v>
      </c>
      <c r="D38" s="186" t="s">
        <v>34</v>
      </c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A39" s="92"/>
      <c r="B39" s="185" t="s">
        <v>152</v>
      </c>
      <c r="C39" s="185">
        <v>26.0</v>
      </c>
      <c r="D39" s="186" t="s">
        <v>40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92"/>
      <c r="B40" s="185" t="s">
        <v>356</v>
      </c>
      <c r="C40" s="185">
        <v>301.0</v>
      </c>
      <c r="D40" s="186" t="s">
        <v>40</v>
      </c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A41" s="92"/>
      <c r="B41" s="185" t="s">
        <v>168</v>
      </c>
      <c r="C41" s="185">
        <v>55.0</v>
      </c>
      <c r="D41" s="186" t="s">
        <v>40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92"/>
      <c r="B42" s="185" t="s">
        <v>56</v>
      </c>
      <c r="C42" s="185">
        <v>10.0</v>
      </c>
      <c r="D42" s="186" t="s">
        <v>40</v>
      </c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A43" s="92"/>
      <c r="B43" s="185" t="s">
        <v>772</v>
      </c>
      <c r="C43" s="185">
        <v>200.0</v>
      </c>
      <c r="D43" s="186" t="s">
        <v>101</v>
      </c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184">
        <v>45751.0</v>
      </c>
      <c r="B44" s="185" t="s">
        <v>296</v>
      </c>
      <c r="C44" s="185">
        <v>18.0</v>
      </c>
      <c r="D44" s="186" t="s">
        <v>40</v>
      </c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92"/>
      <c r="B45" s="185" t="s">
        <v>37</v>
      </c>
      <c r="C45" s="185">
        <v>55.0</v>
      </c>
      <c r="D45" s="186" t="s">
        <v>40</v>
      </c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A46" s="92"/>
      <c r="B46" s="185" t="s">
        <v>93</v>
      </c>
      <c r="C46" s="185">
        <v>60.0</v>
      </c>
      <c r="D46" s="186" t="s">
        <v>40</v>
      </c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92"/>
      <c r="B47" s="185" t="s">
        <v>594</v>
      </c>
      <c r="C47" s="185">
        <v>-1000.0</v>
      </c>
      <c r="D47" s="186" t="s">
        <v>34</v>
      </c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A48" s="184">
        <v>45752.0</v>
      </c>
      <c r="B48" s="185" t="s">
        <v>773</v>
      </c>
      <c r="C48" s="185">
        <v>314.0</v>
      </c>
      <c r="D48" s="186" t="s">
        <v>40</v>
      </c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92"/>
      <c r="B49" s="185" t="s">
        <v>533</v>
      </c>
      <c r="C49" s="185">
        <v>448.0</v>
      </c>
      <c r="D49" s="186" t="s">
        <v>40</v>
      </c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92"/>
      <c r="B50" s="185" t="s">
        <v>774</v>
      </c>
      <c r="C50" s="185">
        <v>1000.0</v>
      </c>
      <c r="D50" s="186" t="s">
        <v>190</v>
      </c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92"/>
      <c r="B51" s="185" t="s">
        <v>173</v>
      </c>
      <c r="C51" s="185">
        <v>150.0</v>
      </c>
      <c r="D51" s="186" t="s">
        <v>40</v>
      </c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A52" s="92"/>
      <c r="B52" s="185" t="s">
        <v>130</v>
      </c>
      <c r="C52" s="185">
        <v>64.0</v>
      </c>
      <c r="D52" s="186" t="s">
        <v>40</v>
      </c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92"/>
      <c r="B53" s="185" t="s">
        <v>529</v>
      </c>
      <c r="C53" s="185">
        <v>20.0</v>
      </c>
      <c r="D53" s="186" t="s">
        <v>40</v>
      </c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92"/>
      <c r="B54" s="185" t="s">
        <v>168</v>
      </c>
      <c r="C54" s="185">
        <v>832.0</v>
      </c>
      <c r="D54" s="186" t="s">
        <v>101</v>
      </c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A55" s="92"/>
      <c r="B55" s="185" t="s">
        <v>295</v>
      </c>
      <c r="C55" s="185">
        <v>55.0</v>
      </c>
      <c r="D55" s="186" t="s">
        <v>40</v>
      </c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92"/>
      <c r="B56" s="185" t="s">
        <v>764</v>
      </c>
      <c r="C56" s="185">
        <v>196.0</v>
      </c>
      <c r="D56" s="186" t="s">
        <v>190</v>
      </c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A57" s="184">
        <v>45753.0</v>
      </c>
      <c r="B57" s="185" t="s">
        <v>145</v>
      </c>
      <c r="C57" s="185">
        <v>30.0</v>
      </c>
      <c r="D57" s="186" t="s">
        <v>40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A58" s="92"/>
      <c r="B58" s="185" t="s">
        <v>775</v>
      </c>
      <c r="C58" s="185">
        <v>69.0</v>
      </c>
      <c r="D58" s="186" t="s">
        <v>40</v>
      </c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A59" s="92"/>
      <c r="B59" s="185" t="s">
        <v>592</v>
      </c>
      <c r="C59" s="185">
        <v>500.0</v>
      </c>
      <c r="D59" s="186" t="s">
        <v>34</v>
      </c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92"/>
      <c r="B60" s="185" t="s">
        <v>776</v>
      </c>
      <c r="C60" s="185">
        <v>10.0</v>
      </c>
      <c r="D60" s="186" t="s">
        <v>40</v>
      </c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92"/>
      <c r="B61" s="185" t="s">
        <v>93</v>
      </c>
      <c r="C61" s="185">
        <v>35.0</v>
      </c>
      <c r="D61" s="186" t="s">
        <v>40</v>
      </c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184">
        <v>45754.0</v>
      </c>
      <c r="B62" s="185" t="s">
        <v>50</v>
      </c>
      <c r="C62" s="185">
        <v>30.0</v>
      </c>
      <c r="D62" s="186" t="s">
        <v>40</v>
      </c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92"/>
      <c r="B63" s="185" t="s">
        <v>712</v>
      </c>
      <c r="C63" s="185">
        <v>39.0</v>
      </c>
      <c r="D63" s="186" t="s">
        <v>40</v>
      </c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92"/>
      <c r="B64" s="185" t="s">
        <v>733</v>
      </c>
      <c r="C64" s="185">
        <v>2000.0</v>
      </c>
      <c r="D64" s="186" t="s">
        <v>101</v>
      </c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A65" s="92"/>
      <c r="B65" s="185" t="s">
        <v>356</v>
      </c>
      <c r="C65" s="185">
        <v>124.0</v>
      </c>
      <c r="D65" s="186" t="s">
        <v>40</v>
      </c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92"/>
      <c r="B66" s="185" t="s">
        <v>37</v>
      </c>
      <c r="C66" s="185">
        <v>55.0</v>
      </c>
      <c r="D66" s="186" t="s">
        <v>40</v>
      </c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92"/>
      <c r="B67" s="185" t="s">
        <v>777</v>
      </c>
      <c r="C67" s="185">
        <v>20.0</v>
      </c>
      <c r="D67" s="186" t="s">
        <v>40</v>
      </c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92"/>
      <c r="B68" s="185" t="s">
        <v>765</v>
      </c>
      <c r="C68" s="185">
        <v>250.0</v>
      </c>
      <c r="D68" s="186" t="s">
        <v>34</v>
      </c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A69" s="184">
        <v>45755.0</v>
      </c>
      <c r="B69" s="185" t="s">
        <v>152</v>
      </c>
      <c r="C69" s="185">
        <v>14.0</v>
      </c>
      <c r="D69" s="186" t="s">
        <v>40</v>
      </c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A70" s="92"/>
      <c r="B70" s="185" t="s">
        <v>356</v>
      </c>
      <c r="C70" s="185">
        <v>55.0</v>
      </c>
      <c r="D70" s="186" t="s">
        <v>40</v>
      </c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92"/>
      <c r="B71" s="185" t="s">
        <v>778</v>
      </c>
      <c r="C71" s="185">
        <v>44.0</v>
      </c>
      <c r="D71" s="186" t="s">
        <v>40</v>
      </c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92"/>
      <c r="B72" s="185" t="s">
        <v>33</v>
      </c>
      <c r="C72" s="185">
        <v>500.0</v>
      </c>
      <c r="D72" s="186" t="s">
        <v>34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184">
        <v>45756.0</v>
      </c>
      <c r="B73" s="185" t="s">
        <v>89</v>
      </c>
      <c r="C73" s="185">
        <v>40.0</v>
      </c>
      <c r="D73" s="186" t="s">
        <v>40</v>
      </c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A74" s="92"/>
      <c r="B74" s="185" t="s">
        <v>779</v>
      </c>
      <c r="C74" s="185">
        <v>341.0</v>
      </c>
      <c r="D74" s="186" t="s">
        <v>40</v>
      </c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A75" s="92"/>
      <c r="B75" s="185" t="s">
        <v>152</v>
      </c>
      <c r="C75" s="185">
        <v>26.0</v>
      </c>
      <c r="D75" s="186" t="s">
        <v>40</v>
      </c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92"/>
      <c r="B76" s="185" t="s">
        <v>91</v>
      </c>
      <c r="C76" s="185">
        <v>61.0</v>
      </c>
      <c r="D76" s="186" t="s">
        <v>40</v>
      </c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184">
        <v>45757.0</v>
      </c>
      <c r="B77" s="185" t="s">
        <v>152</v>
      </c>
      <c r="C77" s="185">
        <v>14.0</v>
      </c>
      <c r="D77" s="186" t="s">
        <v>40</v>
      </c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A78" s="92"/>
      <c r="B78" s="185" t="s">
        <v>356</v>
      </c>
      <c r="C78" s="185">
        <v>73.0</v>
      </c>
      <c r="D78" s="186" t="s">
        <v>40</v>
      </c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92"/>
      <c r="B79" s="185" t="s">
        <v>594</v>
      </c>
      <c r="C79" s="185">
        <v>-500.0</v>
      </c>
      <c r="D79" s="186" t="s">
        <v>40</v>
      </c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92"/>
      <c r="B80" s="185" t="s">
        <v>780</v>
      </c>
      <c r="C80" s="185">
        <v>-100.0</v>
      </c>
      <c r="D80" s="186" t="s">
        <v>40</v>
      </c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A81" s="184">
        <v>45758.0</v>
      </c>
      <c r="B81" s="185" t="s">
        <v>148</v>
      </c>
      <c r="C81" s="185">
        <v>21.0</v>
      </c>
      <c r="D81" s="186" t="s">
        <v>40</v>
      </c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A82" s="92"/>
      <c r="B82" s="185" t="s">
        <v>93</v>
      </c>
      <c r="C82" s="185">
        <v>136.0</v>
      </c>
      <c r="D82" s="186" t="s">
        <v>40</v>
      </c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92"/>
      <c r="B83" s="185" t="s">
        <v>597</v>
      </c>
      <c r="C83" s="185">
        <v>65.0</v>
      </c>
      <c r="D83" s="186" t="s">
        <v>40</v>
      </c>
      <c r="E83" s="185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A84" s="92"/>
      <c r="B84" s="185" t="s">
        <v>487</v>
      </c>
      <c r="C84" s="185">
        <v>50.0</v>
      </c>
      <c r="D84" s="186" t="s">
        <v>40</v>
      </c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92"/>
      <c r="B85" s="185" t="s">
        <v>568</v>
      </c>
      <c r="C85" s="185">
        <v>51.0</v>
      </c>
      <c r="D85" s="186" t="s">
        <v>40</v>
      </c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A86" s="184">
        <v>45759.0</v>
      </c>
      <c r="B86" s="185" t="s">
        <v>50</v>
      </c>
      <c r="C86" s="185">
        <v>40.0</v>
      </c>
      <c r="D86" s="186" t="s">
        <v>40</v>
      </c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92"/>
      <c r="B87" s="185" t="s">
        <v>148</v>
      </c>
      <c r="C87" s="185">
        <v>65.0</v>
      </c>
      <c r="D87" s="186" t="s">
        <v>40</v>
      </c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A88" s="92"/>
      <c r="B88" s="185" t="s">
        <v>781</v>
      </c>
      <c r="C88" s="185">
        <v>196.0</v>
      </c>
      <c r="D88" s="186" t="s">
        <v>190</v>
      </c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92"/>
      <c r="B89" s="185" t="s">
        <v>782</v>
      </c>
      <c r="C89" s="185">
        <v>159.0</v>
      </c>
      <c r="D89" s="186" t="s">
        <v>40</v>
      </c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A90" s="92"/>
      <c r="B90" s="185" t="s">
        <v>356</v>
      </c>
      <c r="C90" s="185">
        <v>55.0</v>
      </c>
      <c r="D90" s="186" t="s">
        <v>40</v>
      </c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92"/>
      <c r="B91" s="185" t="s">
        <v>783</v>
      </c>
      <c r="C91" s="185">
        <v>20.0</v>
      </c>
      <c r="D91" s="186" t="s">
        <v>40</v>
      </c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A92" s="184">
        <v>45760.0</v>
      </c>
      <c r="B92" s="185" t="s">
        <v>296</v>
      </c>
      <c r="C92" s="185">
        <v>30.0</v>
      </c>
      <c r="D92" s="186" t="s">
        <v>40</v>
      </c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A93" s="92"/>
      <c r="B93" s="185" t="s">
        <v>148</v>
      </c>
      <c r="C93" s="185">
        <v>60.0</v>
      </c>
      <c r="D93" s="186" t="s">
        <v>40</v>
      </c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A94" s="92"/>
      <c r="B94" s="185" t="s">
        <v>784</v>
      </c>
      <c r="C94" s="185">
        <v>60.0</v>
      </c>
      <c r="D94" s="186" t="s">
        <v>40</v>
      </c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92"/>
      <c r="B95" s="185" t="s">
        <v>37</v>
      </c>
      <c r="C95" s="185">
        <v>50.0</v>
      </c>
      <c r="D95" s="186" t="s">
        <v>40</v>
      </c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A96" s="92"/>
      <c r="B96" s="185" t="s">
        <v>785</v>
      </c>
      <c r="C96" s="185">
        <v>223.0</v>
      </c>
      <c r="D96" s="186" t="s">
        <v>40</v>
      </c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92"/>
      <c r="B97" s="185" t="s">
        <v>560</v>
      </c>
      <c r="C97" s="185">
        <v>635.0</v>
      </c>
      <c r="D97" s="186" t="s">
        <v>101</v>
      </c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A98" s="184">
        <v>45761.0</v>
      </c>
      <c r="B98" s="185" t="s">
        <v>152</v>
      </c>
      <c r="C98" s="185">
        <v>14.0</v>
      </c>
      <c r="D98" s="186" t="s">
        <v>40</v>
      </c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A99" s="92"/>
      <c r="B99" s="185" t="s">
        <v>148</v>
      </c>
      <c r="C99" s="185">
        <v>31.0</v>
      </c>
      <c r="D99" s="186" t="s">
        <v>40</v>
      </c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184">
        <v>45762.0</v>
      </c>
      <c r="B100" s="185" t="s">
        <v>786</v>
      </c>
      <c r="C100" s="185">
        <v>-1000.0</v>
      </c>
      <c r="D100" s="186" t="s">
        <v>34</v>
      </c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92"/>
      <c r="B101" s="185" t="s">
        <v>227</v>
      </c>
      <c r="C101" s="185">
        <v>-300.0</v>
      </c>
      <c r="D101" s="186" t="s">
        <v>34</v>
      </c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A102" s="92"/>
      <c r="B102" s="185" t="s">
        <v>84</v>
      </c>
      <c r="C102" s="185">
        <v>252.0</v>
      </c>
      <c r="D102" s="186" t="s">
        <v>40</v>
      </c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A103" s="92"/>
      <c r="B103" s="185" t="s">
        <v>136</v>
      </c>
      <c r="C103" s="185">
        <v>32.0</v>
      </c>
      <c r="D103" s="186" t="s">
        <v>40</v>
      </c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A104" s="92"/>
      <c r="B104" s="185" t="s">
        <v>464</v>
      </c>
      <c r="C104" s="185">
        <v>118.0</v>
      </c>
      <c r="D104" s="186" t="s">
        <v>40</v>
      </c>
      <c r="E104" s="185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92"/>
      <c r="B105" s="185" t="s">
        <v>12</v>
      </c>
      <c r="C105" s="185">
        <v>5000.0</v>
      </c>
      <c r="D105" s="186" t="s">
        <v>12</v>
      </c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92"/>
      <c r="B106" s="185" t="s">
        <v>305</v>
      </c>
      <c r="C106" s="185">
        <v>68.0</v>
      </c>
      <c r="D106" s="186" t="s">
        <v>40</v>
      </c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184">
        <v>45763.0</v>
      </c>
      <c r="B107" s="185" t="s">
        <v>152</v>
      </c>
      <c r="C107" s="185">
        <v>16.0</v>
      </c>
      <c r="D107" s="186" t="s">
        <v>40</v>
      </c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92"/>
      <c r="B108" s="185" t="s">
        <v>787</v>
      </c>
      <c r="C108" s="185">
        <v>25.0</v>
      </c>
      <c r="D108" s="186" t="s">
        <v>40</v>
      </c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92"/>
      <c r="B109" s="185" t="s">
        <v>211</v>
      </c>
      <c r="C109" s="185">
        <v>115.0</v>
      </c>
      <c r="D109" s="186" t="s">
        <v>40</v>
      </c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92"/>
      <c r="B110" s="185" t="s">
        <v>111</v>
      </c>
      <c r="C110" s="181">
        <f>55*2+31-70</f>
        <v>71</v>
      </c>
      <c r="D110" s="186" t="s">
        <v>40</v>
      </c>
      <c r="E110" s="185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184">
        <v>45764.0</v>
      </c>
      <c r="B111" s="185" t="s">
        <v>160</v>
      </c>
      <c r="C111" s="185">
        <v>80.0</v>
      </c>
      <c r="D111" s="186" t="s">
        <v>40</v>
      </c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92"/>
      <c r="B112" s="185" t="s">
        <v>167</v>
      </c>
      <c r="C112" s="185">
        <v>20.0</v>
      </c>
      <c r="D112" s="186" t="s">
        <v>40</v>
      </c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92"/>
      <c r="B113" s="185" t="s">
        <v>318</v>
      </c>
      <c r="C113" s="185">
        <v>50.0</v>
      </c>
      <c r="D113" s="186" t="s">
        <v>40</v>
      </c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92"/>
      <c r="B114" s="185" t="s">
        <v>788</v>
      </c>
      <c r="C114" s="185">
        <v>63.0</v>
      </c>
      <c r="D114" s="186" t="s">
        <v>40</v>
      </c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92"/>
      <c r="B115" s="185" t="s">
        <v>356</v>
      </c>
      <c r="C115" s="185">
        <v>250.0</v>
      </c>
      <c r="D115" s="186" t="s">
        <v>40</v>
      </c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184">
        <v>45765.0</v>
      </c>
      <c r="B116" s="185" t="s">
        <v>608</v>
      </c>
      <c r="C116" s="185">
        <v>36.0</v>
      </c>
      <c r="D116" s="186" t="s">
        <v>40</v>
      </c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92"/>
      <c r="B117" s="185" t="s">
        <v>789</v>
      </c>
      <c r="C117" s="185">
        <v>3435.0</v>
      </c>
      <c r="D117" s="186" t="s">
        <v>374</v>
      </c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92"/>
      <c r="B118" s="185" t="s">
        <v>96</v>
      </c>
      <c r="C118" s="185">
        <v>19.0</v>
      </c>
      <c r="D118" s="186" t="s">
        <v>40</v>
      </c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184">
        <v>45766.0</v>
      </c>
      <c r="B119" s="185" t="s">
        <v>33</v>
      </c>
      <c r="C119" s="185">
        <v>35.0</v>
      </c>
      <c r="D119" s="186" t="s">
        <v>40</v>
      </c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92"/>
      <c r="B120" s="185" t="s">
        <v>111</v>
      </c>
      <c r="C120" s="181">
        <f>60+79+15-60</f>
        <v>94</v>
      </c>
      <c r="D120" s="186" t="s">
        <v>40</v>
      </c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184">
        <v>45767.0</v>
      </c>
      <c r="B121" s="185" t="s">
        <v>657</v>
      </c>
      <c r="C121" s="185">
        <v>75.0</v>
      </c>
      <c r="D121" s="186" t="s">
        <v>40</v>
      </c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92"/>
      <c r="B122" s="185" t="s">
        <v>175</v>
      </c>
      <c r="C122" s="185">
        <v>60.0</v>
      </c>
      <c r="D122" s="186" t="s">
        <v>40</v>
      </c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184">
        <v>45768.0</v>
      </c>
      <c r="B123" s="185" t="s">
        <v>790</v>
      </c>
      <c r="C123" s="185">
        <v>200.0</v>
      </c>
      <c r="D123" s="186" t="s">
        <v>34</v>
      </c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92"/>
      <c r="B124" s="185" t="s">
        <v>152</v>
      </c>
      <c r="C124" s="185">
        <v>23.0</v>
      </c>
      <c r="D124" s="186" t="s">
        <v>40</v>
      </c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92"/>
      <c r="B125" s="185" t="s">
        <v>791</v>
      </c>
      <c r="C125" s="185">
        <v>-50.0</v>
      </c>
      <c r="D125" s="186" t="s">
        <v>40</v>
      </c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92"/>
      <c r="B126" s="185" t="s">
        <v>356</v>
      </c>
      <c r="C126" s="185">
        <v>118.0</v>
      </c>
      <c r="D126" s="186" t="s">
        <v>40</v>
      </c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92"/>
      <c r="B127" s="185" t="s">
        <v>61</v>
      </c>
      <c r="C127" s="185">
        <v>16.0</v>
      </c>
      <c r="D127" s="186" t="s">
        <v>40</v>
      </c>
      <c r="E127" s="185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184">
        <v>45769.0</v>
      </c>
      <c r="B128" s="185" t="s">
        <v>91</v>
      </c>
      <c r="C128" s="185">
        <f>104-42</f>
        <v>62</v>
      </c>
      <c r="D128" s="186" t="s">
        <v>40</v>
      </c>
      <c r="E128" s="185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92"/>
      <c r="B129" s="185" t="s">
        <v>305</v>
      </c>
      <c r="C129" s="185">
        <v>100.0</v>
      </c>
      <c r="D129" s="186" t="s">
        <v>40</v>
      </c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92"/>
      <c r="B130" s="185" t="s">
        <v>792</v>
      </c>
      <c r="C130" s="185">
        <v>40.0</v>
      </c>
      <c r="D130" s="186" t="s">
        <v>40</v>
      </c>
      <c r="E130" s="185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184">
        <v>45770.0</v>
      </c>
      <c r="B131" s="185" t="s">
        <v>340</v>
      </c>
      <c r="C131" s="185">
        <v>15.0</v>
      </c>
      <c r="D131" s="186" t="s">
        <v>40</v>
      </c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92"/>
      <c r="B132" s="185" t="s">
        <v>80</v>
      </c>
      <c r="C132" s="185">
        <v>103.0</v>
      </c>
      <c r="D132" s="186" t="s">
        <v>40</v>
      </c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184">
        <v>45771.0</v>
      </c>
      <c r="B133" s="185" t="s">
        <v>152</v>
      </c>
      <c r="C133" s="185">
        <v>22.0</v>
      </c>
      <c r="D133" s="186" t="s">
        <v>40</v>
      </c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92"/>
      <c r="B134" s="185" t="s">
        <v>91</v>
      </c>
      <c r="C134" s="185">
        <v>44.0</v>
      </c>
      <c r="D134" s="186" t="s">
        <v>40</v>
      </c>
      <c r="E134" s="185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92"/>
      <c r="B135" s="185" t="s">
        <v>708</v>
      </c>
      <c r="C135" s="185">
        <v>-65.0</v>
      </c>
      <c r="D135" s="186" t="s">
        <v>40</v>
      </c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184">
        <v>45772.0</v>
      </c>
      <c r="B136" s="185" t="s">
        <v>793</v>
      </c>
      <c r="C136" s="185">
        <v>83.0</v>
      </c>
      <c r="D136" s="186" t="s">
        <v>40</v>
      </c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92"/>
      <c r="B137" s="185" t="s">
        <v>340</v>
      </c>
      <c r="C137" s="185">
        <v>13.0</v>
      </c>
      <c r="D137" s="186" t="s">
        <v>40</v>
      </c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92"/>
      <c r="B138" s="185" t="s">
        <v>91</v>
      </c>
      <c r="C138" s="185">
        <v>40.0</v>
      </c>
      <c r="D138" s="186" t="s">
        <v>40</v>
      </c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184">
        <v>45773.0</v>
      </c>
      <c r="B139" s="185" t="s">
        <v>37</v>
      </c>
      <c r="C139" s="185">
        <v>40.0</v>
      </c>
      <c r="D139" s="186" t="s">
        <v>40</v>
      </c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92"/>
      <c r="B140" s="185" t="s">
        <v>794</v>
      </c>
      <c r="C140" s="185">
        <v>9.0</v>
      </c>
      <c r="D140" s="186" t="s">
        <v>40</v>
      </c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92"/>
      <c r="B141" s="185" t="s">
        <v>795</v>
      </c>
      <c r="C141" s="185">
        <v>165.0</v>
      </c>
      <c r="D141" s="186" t="s">
        <v>40</v>
      </c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92"/>
      <c r="B142" s="185" t="s">
        <v>41</v>
      </c>
      <c r="C142" s="185">
        <v>1000.0</v>
      </c>
      <c r="D142" s="186" t="s">
        <v>101</v>
      </c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92"/>
      <c r="B143" s="185" t="s">
        <v>356</v>
      </c>
      <c r="C143" s="185">
        <v>55.0</v>
      </c>
      <c r="D143" s="186" t="s">
        <v>40</v>
      </c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92"/>
      <c r="B144" s="185" t="s">
        <v>148</v>
      </c>
      <c r="C144" s="185">
        <v>43.0</v>
      </c>
      <c r="D144" s="186" t="s">
        <v>40</v>
      </c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92"/>
      <c r="B145" s="185" t="s">
        <v>796</v>
      </c>
      <c r="C145" s="185">
        <v>35.0</v>
      </c>
      <c r="D145" s="186" t="s">
        <v>40</v>
      </c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92"/>
      <c r="B146" s="185" t="s">
        <v>797</v>
      </c>
      <c r="C146" s="185">
        <v>21.0</v>
      </c>
      <c r="D146" s="186" t="s">
        <v>40</v>
      </c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4">
        <v>45774.0</v>
      </c>
      <c r="B147" s="185" t="s">
        <v>50</v>
      </c>
      <c r="C147" s="185">
        <v>40.0</v>
      </c>
      <c r="D147" s="186" t="s">
        <v>40</v>
      </c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92"/>
      <c r="B148" s="185" t="s">
        <v>798</v>
      </c>
      <c r="C148" s="185">
        <v>300.0</v>
      </c>
      <c r="D148" s="186" t="s">
        <v>190</v>
      </c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92"/>
      <c r="B149" s="185" t="s">
        <v>93</v>
      </c>
      <c r="C149" s="185">
        <v>65.0</v>
      </c>
      <c r="D149" s="186" t="s">
        <v>40</v>
      </c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92"/>
      <c r="B150" s="185" t="s">
        <v>167</v>
      </c>
      <c r="C150" s="185">
        <v>10.0</v>
      </c>
      <c r="D150" s="186" t="s">
        <v>40</v>
      </c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92"/>
      <c r="B151" s="185" t="s">
        <v>148</v>
      </c>
      <c r="C151" s="185">
        <v>34.0</v>
      </c>
      <c r="D151" s="186" t="s">
        <v>40</v>
      </c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4">
        <v>45775.0</v>
      </c>
      <c r="B152" s="185" t="s">
        <v>33</v>
      </c>
      <c r="C152" s="185">
        <v>120.0</v>
      </c>
      <c r="D152" s="186" t="s">
        <v>40</v>
      </c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92"/>
      <c r="B153" s="185" t="s">
        <v>799</v>
      </c>
      <c r="C153" s="185">
        <v>115.0</v>
      </c>
      <c r="D153" s="186" t="s">
        <v>190</v>
      </c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92"/>
      <c r="B154" s="185" t="s">
        <v>136</v>
      </c>
      <c r="C154" s="185">
        <v>20.0</v>
      </c>
      <c r="D154" s="186" t="s">
        <v>40</v>
      </c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92"/>
      <c r="B155" s="185" t="s">
        <v>152</v>
      </c>
      <c r="C155" s="185">
        <v>14.0</v>
      </c>
      <c r="D155" s="186" t="s">
        <v>40</v>
      </c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92"/>
      <c r="B156" s="185" t="s">
        <v>723</v>
      </c>
      <c r="C156" s="185">
        <v>35.0</v>
      </c>
      <c r="D156" s="186" t="s">
        <v>40</v>
      </c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92"/>
      <c r="B157" s="185" t="s">
        <v>442</v>
      </c>
      <c r="C157" s="185">
        <v>50.0</v>
      </c>
      <c r="D157" s="186" t="s">
        <v>40</v>
      </c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92"/>
      <c r="B158" s="185" t="s">
        <v>148</v>
      </c>
      <c r="C158" s="185">
        <v>21.0</v>
      </c>
      <c r="D158" s="186" t="s">
        <v>40</v>
      </c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4"/>
      <c r="B159" s="181"/>
      <c r="C159" s="181"/>
      <c r="D159" s="22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4"/>
      <c r="B160" s="181"/>
      <c r="C160" s="181"/>
      <c r="D160" s="22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4"/>
      <c r="B161" s="181"/>
      <c r="C161" s="181"/>
      <c r="D161" s="22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4"/>
      <c r="B162" s="181"/>
      <c r="C162" s="181"/>
      <c r="D162" s="22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4"/>
      <c r="B163" s="181"/>
      <c r="C163" s="181"/>
      <c r="D163" s="22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4"/>
      <c r="B164" s="181"/>
      <c r="C164" s="181"/>
      <c r="D164" s="22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4"/>
      <c r="B165" s="181"/>
      <c r="C165" s="181"/>
      <c r="D165" s="22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22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22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22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22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22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22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22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22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22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22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22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22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22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22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22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22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22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22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22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22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22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22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22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22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22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22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22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22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22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22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22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22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22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22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22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22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22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22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22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22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22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22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22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22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22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22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22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22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22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22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22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22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22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22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22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22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22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22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22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22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22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22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22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22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22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22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22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22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22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22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22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22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22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22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22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22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22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22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22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22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22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22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22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22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22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22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22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22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22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22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22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22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22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22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22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22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22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22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22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22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22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22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22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22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22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22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22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22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22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22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22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22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22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22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22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22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22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22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22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22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22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22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22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22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22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22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22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22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22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22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22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22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22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22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22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22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22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22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22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22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22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22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22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22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22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22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22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22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22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22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22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22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22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22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22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22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22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22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22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22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22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22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22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22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22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22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22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22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22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22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22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22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22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22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22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22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22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22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22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22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22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22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22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22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22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22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22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22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22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22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22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22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22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22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22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22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22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22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22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22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22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22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22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22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22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22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22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22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22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22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22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22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22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22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22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22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22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22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22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22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22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22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22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22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22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22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22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22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22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22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22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22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22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22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22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22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22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22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22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22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22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22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22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22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22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22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22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22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22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22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22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22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22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22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22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22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22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22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22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22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22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22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22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22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22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22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22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22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22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22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22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22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22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22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22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22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22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22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22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22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22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22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22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22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22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22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22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22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22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22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22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22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22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22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22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22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22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22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22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22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22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22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22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22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22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22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22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22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22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22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22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22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22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22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22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22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22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22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22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22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22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22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22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22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22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22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22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22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22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22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22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22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22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22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22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22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22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22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22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22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22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22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22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22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22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22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22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22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22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22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22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22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22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22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22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22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22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22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22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22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22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22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22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22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22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22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22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22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22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22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22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22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22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22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22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22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22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22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22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22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22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22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22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22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22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22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22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22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22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22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22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22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22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22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22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22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22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22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22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22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22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22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22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22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22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22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22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22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22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22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22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22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22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22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22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22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22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22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22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22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22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22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22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22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22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22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22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22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22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22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22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22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22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22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22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22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22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22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22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22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22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22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22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22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22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22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22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22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22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22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22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22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22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22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22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22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22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22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22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22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22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22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22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22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22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22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22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22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22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22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22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22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22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22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22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22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22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22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22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22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22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22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22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22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22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22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22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22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22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22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22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22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22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22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22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22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22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22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22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22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22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22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22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22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22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22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22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22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22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22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22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22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22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22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22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22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22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22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22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22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22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22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22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22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22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22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22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22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22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22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22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22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22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22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22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22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22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22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22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22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22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22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22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22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22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22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22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22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22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22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22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22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22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22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22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22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22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22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22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22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22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22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22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22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22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22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22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22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22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22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22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22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22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22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22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22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22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22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22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22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22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22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22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22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22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22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22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22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22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22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22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22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22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22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22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22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22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22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22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22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22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22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22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22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22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22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22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22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22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22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22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22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22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22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22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22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22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22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22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22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22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22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22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22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22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22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22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22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22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22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22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22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22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22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22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22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22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22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22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22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22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22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22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22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22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22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22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22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22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22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22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22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22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22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22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22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22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22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22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22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22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22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22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22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22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22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22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22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22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22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22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22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22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22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22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22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22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22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22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22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22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22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22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22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22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22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22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22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22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22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22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22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22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22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22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22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22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22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22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22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22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22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22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22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22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22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22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22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22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22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22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22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22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22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22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22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22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22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22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22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22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22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22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22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22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22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22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22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22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22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22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22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22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22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22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22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22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22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22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22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22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22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22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22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22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22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22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22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22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22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22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22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22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22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22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22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22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22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22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22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22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22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22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22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22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22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22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22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22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22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181"/>
      <c r="D936" s="22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181"/>
      <c r="B937" s="181"/>
      <c r="C937" s="181"/>
      <c r="D937" s="22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181"/>
      <c r="B938" s="181"/>
      <c r="C938" s="181"/>
      <c r="D938" s="22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181"/>
      <c r="B939" s="181"/>
      <c r="C939" s="181"/>
      <c r="D939" s="22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181"/>
      <c r="B940" s="181"/>
      <c r="C940" s="181"/>
      <c r="D940" s="22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181"/>
      <c r="B941" s="181"/>
      <c r="C941" s="181"/>
      <c r="D941" s="22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181"/>
      <c r="B942" s="181"/>
      <c r="C942" s="181"/>
      <c r="D942" s="22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181"/>
      <c r="B943" s="181"/>
      <c r="C943" s="181"/>
      <c r="D943" s="22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181"/>
      <c r="B944" s="181"/>
      <c r="C944" s="181"/>
      <c r="D944" s="22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181"/>
      <c r="B945" s="181"/>
      <c r="C945" s="181"/>
      <c r="D945" s="22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181"/>
      <c r="B946" s="181"/>
      <c r="C946" s="181"/>
      <c r="D946" s="22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181"/>
      <c r="B947" s="181"/>
      <c r="C947" s="181"/>
      <c r="D947" s="22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181"/>
      <c r="B948" s="181"/>
      <c r="C948" s="181"/>
      <c r="D948" s="22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181"/>
      <c r="B949" s="181"/>
      <c r="C949" s="181"/>
      <c r="D949" s="22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181"/>
      <c r="B950" s="181"/>
      <c r="C950" s="181"/>
      <c r="D950" s="22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181"/>
      <c r="B951" s="181"/>
      <c r="C951" s="181"/>
      <c r="D951" s="22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181"/>
      <c r="B952" s="181"/>
      <c r="C952" s="181"/>
      <c r="D952" s="22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181"/>
      <c r="B953" s="181"/>
      <c r="C953" s="181"/>
      <c r="D953" s="22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181"/>
      <c r="B954" s="181"/>
      <c r="C954" s="181"/>
      <c r="D954" s="22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181"/>
      <c r="B955" s="181"/>
      <c r="C955" s="181"/>
      <c r="D955" s="22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181"/>
      <c r="B956" s="181"/>
      <c r="C956" s="181"/>
      <c r="D956" s="22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181"/>
      <c r="B957" s="181"/>
      <c r="C957" s="181"/>
      <c r="D957" s="22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181"/>
      <c r="B958" s="181"/>
      <c r="C958" s="181"/>
      <c r="D958" s="22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181"/>
      <c r="B959" s="181"/>
      <c r="C959" s="181"/>
      <c r="D959" s="22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181"/>
      <c r="B960" s="181"/>
      <c r="C960" s="181"/>
      <c r="D960" s="22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181"/>
      <c r="B961" s="181"/>
      <c r="C961" s="181"/>
      <c r="D961" s="22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181"/>
      <c r="B962" s="181"/>
      <c r="C962" s="181"/>
      <c r="D962" s="22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181"/>
      <c r="B963" s="181"/>
      <c r="C963" s="181"/>
      <c r="D963" s="22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181"/>
      <c r="B964" s="181"/>
      <c r="C964" s="181"/>
      <c r="D964" s="22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181"/>
      <c r="B965" s="181"/>
      <c r="C965" s="181"/>
      <c r="D965" s="22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181"/>
      <c r="B966" s="181"/>
      <c r="C966" s="181"/>
      <c r="D966" s="22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181"/>
      <c r="B967" s="181"/>
      <c r="C967" s="181"/>
      <c r="D967" s="22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181"/>
      <c r="B968" s="181"/>
      <c r="C968" s="181"/>
      <c r="D968" s="22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181"/>
      <c r="B969" s="181"/>
      <c r="C969" s="181"/>
      <c r="D969" s="22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181"/>
      <c r="B970" s="181"/>
      <c r="C970" s="181"/>
      <c r="D970" s="22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>
      <c r="A971" s="181"/>
      <c r="B971" s="181"/>
      <c r="C971" s="181"/>
      <c r="D971" s="22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>
      <c r="A972" s="181"/>
      <c r="B972" s="181"/>
      <c r="C972" s="181"/>
      <c r="D972" s="22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>
      <c r="A973" s="181"/>
      <c r="B973" s="181"/>
      <c r="C973" s="181"/>
      <c r="D973" s="22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>
      <c r="A974" s="181"/>
      <c r="B974" s="181"/>
      <c r="C974" s="181"/>
      <c r="D974" s="22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>
      <c r="A975" s="181"/>
      <c r="B975" s="181"/>
      <c r="C975" s="181"/>
      <c r="D975" s="22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>
      <c r="A976" s="181"/>
      <c r="B976" s="181"/>
      <c r="C976" s="181"/>
      <c r="D976" s="22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>
      <c r="A977" s="181"/>
      <c r="B977" s="181"/>
      <c r="C977" s="181"/>
      <c r="D977" s="22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>
      <c r="A978" s="181"/>
      <c r="B978" s="181"/>
      <c r="C978" s="181"/>
      <c r="D978" s="22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>
      <c r="A979" s="181"/>
      <c r="B979" s="181"/>
      <c r="C979" s="181"/>
      <c r="D979" s="22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>
      <c r="A980" s="181"/>
      <c r="B980" s="181"/>
      <c r="C980" s="181"/>
      <c r="D980" s="22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>
      <c r="A981" s="181"/>
      <c r="B981" s="181"/>
      <c r="C981" s="181"/>
      <c r="D981" s="22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>
      <c r="A982" s="181"/>
      <c r="B982" s="181"/>
      <c r="C982" s="181"/>
      <c r="D982" s="22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>
      <c r="A983" s="181"/>
      <c r="B983" s="181"/>
      <c r="C983" s="181"/>
      <c r="D983" s="22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>
      <c r="A984" s="181"/>
      <c r="B984" s="181"/>
      <c r="C984" s="181"/>
      <c r="D984" s="22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>
      <c r="A985" s="181"/>
      <c r="B985" s="181"/>
      <c r="C985" s="181"/>
      <c r="D985" s="22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>
      <c r="A986" s="181"/>
      <c r="B986" s="181"/>
      <c r="C986" s="181"/>
      <c r="D986" s="22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>
      <c r="A987" s="181"/>
      <c r="B987" s="181"/>
      <c r="C987" s="181"/>
      <c r="D987" s="22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>
      <c r="A988" s="181"/>
      <c r="B988" s="181"/>
      <c r="C988" s="181"/>
      <c r="D988" s="22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>
      <c r="A989" s="181"/>
      <c r="B989" s="181"/>
      <c r="C989" s="181"/>
      <c r="D989" s="22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>
      <c r="A990" s="181"/>
      <c r="B990" s="181"/>
      <c r="C990" s="181"/>
      <c r="D990" s="22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>
      <c r="A991" s="181"/>
      <c r="B991" s="181"/>
      <c r="C991" s="181"/>
      <c r="D991" s="22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>
      <c r="A992" s="181"/>
      <c r="B992" s="181"/>
      <c r="C992" s="181"/>
      <c r="D992" s="22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>
      <c r="A993" s="181"/>
      <c r="B993" s="181"/>
      <c r="C993" s="181"/>
      <c r="D993" s="22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>
      <c r="A994" s="181"/>
      <c r="B994" s="181"/>
      <c r="C994" s="181"/>
      <c r="D994" s="22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>
      <c r="A995" s="181"/>
      <c r="B995" s="181"/>
      <c r="C995" s="181"/>
      <c r="D995" s="22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>
      <c r="A996" s="181"/>
      <c r="B996" s="181"/>
      <c r="C996" s="181"/>
      <c r="D996" s="22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>
      <c r="A997" s="181"/>
      <c r="B997" s="181"/>
      <c r="C997" s="181"/>
      <c r="D997" s="22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>
      <c r="A998" s="181"/>
      <c r="B998" s="181"/>
      <c r="C998" s="181"/>
      <c r="D998" s="22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>
      <c r="A999" s="181"/>
      <c r="B999" s="181"/>
      <c r="C999" s="181"/>
      <c r="D999" s="22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>
      <c r="A1000" s="181"/>
      <c r="B1000" s="181"/>
      <c r="C1000" s="181"/>
      <c r="D1000" s="22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  <row r="1001">
      <c r="A1001" s="181"/>
      <c r="B1001" s="181"/>
      <c r="C1001" s="181"/>
      <c r="D1001" s="221"/>
      <c r="E1001" s="181"/>
      <c r="F1001" s="181"/>
      <c r="G1001" s="181"/>
      <c r="H1001" s="181"/>
      <c r="I1001" s="181"/>
      <c r="J1001" s="181"/>
      <c r="K1001" s="181"/>
      <c r="L1001" s="181"/>
      <c r="M1001" s="181"/>
      <c r="N1001" s="181"/>
      <c r="O1001" s="181"/>
      <c r="P1001" s="181"/>
      <c r="Q1001" s="181"/>
      <c r="R1001" s="181"/>
      <c r="S1001" s="181"/>
      <c r="T1001" s="181"/>
      <c r="U1001" s="181"/>
      <c r="V1001" s="181"/>
      <c r="W1001" s="181"/>
      <c r="X1001" s="181"/>
      <c r="Y1001" s="181"/>
      <c r="Z1001" s="181"/>
    </row>
    <row r="1002">
      <c r="A1002" s="181"/>
      <c r="B1002" s="181"/>
      <c r="C1002" s="181"/>
      <c r="D1002" s="221"/>
      <c r="E1002" s="181"/>
      <c r="F1002" s="181"/>
      <c r="G1002" s="181"/>
      <c r="H1002" s="181"/>
      <c r="I1002" s="181"/>
      <c r="J1002" s="181"/>
      <c r="K1002" s="181"/>
      <c r="L1002" s="181"/>
      <c r="M1002" s="181"/>
      <c r="N1002" s="181"/>
      <c r="O1002" s="181"/>
      <c r="P1002" s="181"/>
      <c r="Q1002" s="181"/>
      <c r="R1002" s="181"/>
      <c r="S1002" s="181"/>
      <c r="T1002" s="181"/>
      <c r="U1002" s="181"/>
      <c r="V1002" s="181"/>
      <c r="W1002" s="181"/>
      <c r="X1002" s="181"/>
      <c r="Y1002" s="181"/>
      <c r="Z1002" s="181"/>
    </row>
    <row r="1003">
      <c r="A1003" s="181"/>
      <c r="B1003" s="181"/>
      <c r="C1003" s="181"/>
      <c r="D1003" s="221"/>
      <c r="E1003" s="181"/>
      <c r="F1003" s="181"/>
      <c r="G1003" s="181"/>
      <c r="H1003" s="181"/>
      <c r="I1003" s="181"/>
      <c r="J1003" s="181"/>
      <c r="K1003" s="181"/>
      <c r="L1003" s="181"/>
      <c r="M1003" s="181"/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  <c r="X1003" s="181"/>
      <c r="Y1003" s="181"/>
      <c r="Z1003" s="181"/>
    </row>
    <row r="1004">
      <c r="A1004" s="181"/>
      <c r="B1004" s="181"/>
      <c r="C1004" s="181"/>
      <c r="D1004" s="221"/>
      <c r="E1004" s="181"/>
      <c r="F1004" s="181"/>
      <c r="G1004" s="181"/>
      <c r="H1004" s="181"/>
      <c r="I1004" s="181"/>
      <c r="J1004" s="181"/>
      <c r="K1004" s="181"/>
      <c r="L1004" s="181"/>
      <c r="M1004" s="181"/>
      <c r="N1004" s="181"/>
      <c r="O1004" s="181"/>
      <c r="P1004" s="181"/>
      <c r="Q1004" s="181"/>
      <c r="R1004" s="181"/>
      <c r="S1004" s="181"/>
      <c r="T1004" s="181"/>
      <c r="U1004" s="181"/>
      <c r="V1004" s="181"/>
      <c r="W1004" s="181"/>
      <c r="X1004" s="181"/>
      <c r="Y1004" s="181"/>
      <c r="Z1004" s="181"/>
    </row>
    <row r="1005">
      <c r="A1005" s="181"/>
      <c r="B1005" s="181"/>
      <c r="C1005" s="181"/>
      <c r="D1005" s="221"/>
      <c r="E1005" s="181"/>
      <c r="F1005" s="181"/>
      <c r="G1005" s="181"/>
      <c r="H1005" s="181"/>
      <c r="I1005" s="181"/>
      <c r="J1005" s="181"/>
      <c r="K1005" s="181"/>
      <c r="L1005" s="181"/>
      <c r="M1005" s="181"/>
      <c r="N1005" s="181"/>
      <c r="O1005" s="181"/>
      <c r="P1005" s="181"/>
      <c r="Q1005" s="181"/>
      <c r="R1005" s="181"/>
      <c r="S1005" s="181"/>
      <c r="T1005" s="181"/>
      <c r="U1005" s="181"/>
      <c r="V1005" s="181"/>
      <c r="W1005" s="181"/>
      <c r="X1005" s="181"/>
      <c r="Y1005" s="181"/>
      <c r="Z1005" s="181"/>
    </row>
    <row r="1006">
      <c r="A1006" s="181"/>
      <c r="B1006" s="181"/>
      <c r="C1006" s="181"/>
      <c r="D1006" s="221"/>
      <c r="E1006" s="181"/>
      <c r="F1006" s="181"/>
      <c r="G1006" s="181"/>
      <c r="H1006" s="181"/>
      <c r="I1006" s="181"/>
      <c r="J1006" s="181"/>
      <c r="K1006" s="181"/>
      <c r="L1006" s="181"/>
      <c r="M1006" s="181"/>
      <c r="N1006" s="181"/>
      <c r="O1006" s="181"/>
      <c r="P1006" s="181"/>
      <c r="Q1006" s="181"/>
      <c r="R1006" s="181"/>
      <c r="S1006" s="181"/>
      <c r="T1006" s="181"/>
      <c r="U1006" s="181"/>
      <c r="V1006" s="181"/>
      <c r="W1006" s="181"/>
      <c r="X1006" s="181"/>
      <c r="Y1006" s="181"/>
      <c r="Z1006" s="181"/>
    </row>
    <row r="1007">
      <c r="A1007" s="181"/>
      <c r="B1007" s="181"/>
      <c r="C1007" s="181"/>
      <c r="D1007" s="221"/>
      <c r="E1007" s="181"/>
      <c r="F1007" s="181"/>
      <c r="G1007" s="181"/>
      <c r="H1007" s="181"/>
      <c r="I1007" s="181"/>
      <c r="J1007" s="181"/>
      <c r="K1007" s="181"/>
      <c r="L1007" s="181"/>
      <c r="M1007" s="181"/>
      <c r="N1007" s="181"/>
      <c r="O1007" s="181"/>
      <c r="P1007" s="181"/>
      <c r="Q1007" s="181"/>
      <c r="R1007" s="181"/>
      <c r="S1007" s="181"/>
      <c r="T1007" s="181"/>
      <c r="U1007" s="181"/>
      <c r="V1007" s="181"/>
      <c r="W1007" s="181"/>
      <c r="X1007" s="181"/>
      <c r="Y1007" s="181"/>
      <c r="Z1007" s="181"/>
    </row>
    <row r="1008">
      <c r="A1008" s="181"/>
      <c r="B1008" s="181"/>
      <c r="C1008" s="181"/>
      <c r="D1008" s="221"/>
      <c r="E1008" s="181"/>
      <c r="F1008" s="181"/>
      <c r="G1008" s="181"/>
      <c r="H1008" s="181"/>
      <c r="I1008" s="181"/>
      <c r="J1008" s="181"/>
      <c r="K1008" s="181"/>
      <c r="L1008" s="181"/>
      <c r="M1008" s="181"/>
      <c r="N1008" s="181"/>
      <c r="O1008" s="181"/>
      <c r="P1008" s="181"/>
      <c r="Q1008" s="181"/>
      <c r="R1008" s="181"/>
      <c r="S1008" s="181"/>
      <c r="T1008" s="181"/>
      <c r="U1008" s="181"/>
      <c r="V1008" s="181"/>
      <c r="W1008" s="181"/>
      <c r="X1008" s="181"/>
      <c r="Y1008" s="181"/>
      <c r="Z1008" s="181"/>
    </row>
    <row r="1009">
      <c r="A1009" s="181"/>
      <c r="B1009" s="181"/>
      <c r="C1009" s="181"/>
      <c r="D1009" s="221"/>
      <c r="E1009" s="181"/>
      <c r="F1009" s="181"/>
      <c r="G1009" s="181"/>
      <c r="H1009" s="181"/>
      <c r="I1009" s="181"/>
      <c r="J1009" s="181"/>
      <c r="K1009" s="181"/>
      <c r="L1009" s="181"/>
      <c r="M1009" s="181"/>
      <c r="N1009" s="181"/>
      <c r="O1009" s="181"/>
      <c r="P1009" s="181"/>
      <c r="Q1009" s="181"/>
      <c r="R1009" s="181"/>
      <c r="S1009" s="181"/>
      <c r="T1009" s="181"/>
      <c r="U1009" s="181"/>
      <c r="V1009" s="181"/>
      <c r="W1009" s="181"/>
      <c r="X1009" s="181"/>
      <c r="Y1009" s="181"/>
      <c r="Z1009" s="181"/>
    </row>
  </sheetData>
  <mergeCells count="40">
    <mergeCell ref="G18:H18"/>
    <mergeCell ref="G19:H19"/>
    <mergeCell ref="F24:H24"/>
    <mergeCell ref="A2:A5"/>
    <mergeCell ref="F4:F5"/>
    <mergeCell ref="A6:A11"/>
    <mergeCell ref="G13:H13"/>
    <mergeCell ref="G14:H14"/>
    <mergeCell ref="G15:H15"/>
    <mergeCell ref="G16:H16"/>
    <mergeCell ref="A12:A16"/>
    <mergeCell ref="A17:A21"/>
    <mergeCell ref="A22:A32"/>
    <mergeCell ref="A33:A37"/>
    <mergeCell ref="A38:A43"/>
    <mergeCell ref="A44:A47"/>
    <mergeCell ref="A48:A56"/>
    <mergeCell ref="A57:A61"/>
    <mergeCell ref="A62:A68"/>
    <mergeCell ref="A69:A72"/>
    <mergeCell ref="A73:A76"/>
    <mergeCell ref="A77:A80"/>
    <mergeCell ref="A81:A85"/>
    <mergeCell ref="A86:A91"/>
    <mergeCell ref="A92:A97"/>
    <mergeCell ref="A98:A99"/>
    <mergeCell ref="A100:A106"/>
    <mergeCell ref="A107:A110"/>
    <mergeCell ref="A111:A115"/>
    <mergeCell ref="A116:A118"/>
    <mergeCell ref="A119:A120"/>
    <mergeCell ref="A147:A151"/>
    <mergeCell ref="A152:A158"/>
    <mergeCell ref="A121:A122"/>
    <mergeCell ref="A123:A127"/>
    <mergeCell ref="A128:A130"/>
    <mergeCell ref="A131:A132"/>
    <mergeCell ref="A133:A135"/>
    <mergeCell ref="A136:A138"/>
    <mergeCell ref="A139:A146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5.13"/>
    <col customWidth="1" min="3" max="3" width="12.13"/>
    <col customWidth="1" min="4" max="4" width="16.13"/>
    <col customWidth="1" min="6" max="6" width="22.63"/>
    <col customWidth="1" min="7" max="7" width="29.63"/>
  </cols>
  <sheetData>
    <row r="1">
      <c r="A1" s="225" t="s">
        <v>24</v>
      </c>
      <c r="B1" s="226" t="s">
        <v>25</v>
      </c>
      <c r="C1" s="226" t="s">
        <v>26</v>
      </c>
      <c r="D1" s="226" t="s">
        <v>27</v>
      </c>
      <c r="E1" s="181"/>
      <c r="F1" s="227" t="s">
        <v>24</v>
      </c>
      <c r="G1" s="227" t="s">
        <v>28</v>
      </c>
      <c r="H1" s="227" t="s">
        <v>26</v>
      </c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228">
        <v>45715.0</v>
      </c>
      <c r="B2" s="185" t="s">
        <v>152</v>
      </c>
      <c r="C2" s="185">
        <v>14.0</v>
      </c>
      <c r="D2" s="186" t="s">
        <v>40</v>
      </c>
      <c r="E2" s="181"/>
      <c r="F2" s="187">
        <v>45715.0</v>
      </c>
      <c r="G2" s="188" t="s">
        <v>800</v>
      </c>
      <c r="H2" s="189">
        <v>40.0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B3" s="185" t="s">
        <v>801</v>
      </c>
      <c r="C3" s="185">
        <v>50.0</v>
      </c>
      <c r="D3" s="186" t="s">
        <v>40</v>
      </c>
      <c r="E3" s="181"/>
      <c r="F3" s="92"/>
      <c r="G3" s="185" t="s">
        <v>802</v>
      </c>
      <c r="H3" s="191">
        <v>20000.0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B4" s="185" t="s">
        <v>80</v>
      </c>
      <c r="C4" s="185">
        <v>70.0</v>
      </c>
      <c r="D4" s="186" t="s">
        <v>40</v>
      </c>
      <c r="E4" s="181"/>
      <c r="F4" s="184">
        <v>45716.0</v>
      </c>
      <c r="G4" s="185" t="s">
        <v>766</v>
      </c>
      <c r="H4" s="191">
        <v>3000.0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228">
        <v>45716.0</v>
      </c>
      <c r="B5" s="185" t="s">
        <v>156</v>
      </c>
      <c r="C5" s="185">
        <v>26.0</v>
      </c>
      <c r="D5" s="186" t="s">
        <v>40</v>
      </c>
      <c r="E5" s="181"/>
      <c r="F5" s="184">
        <v>45731.0</v>
      </c>
      <c r="G5" s="185" t="s">
        <v>161</v>
      </c>
      <c r="H5" s="191">
        <v>2000.0</v>
      </c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B6" s="185" t="s">
        <v>50</v>
      </c>
      <c r="C6" s="185">
        <v>42.0</v>
      </c>
      <c r="D6" s="186" t="s">
        <v>40</v>
      </c>
      <c r="E6" s="181"/>
      <c r="F6" s="92"/>
      <c r="G6" s="185" t="s">
        <v>632</v>
      </c>
      <c r="H6" s="191">
        <v>500.0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B7" s="185" t="s">
        <v>152</v>
      </c>
      <c r="C7" s="185">
        <v>14.0</v>
      </c>
      <c r="D7" s="186" t="s">
        <v>40</v>
      </c>
      <c r="E7" s="181"/>
      <c r="F7" s="184">
        <v>45731.0</v>
      </c>
      <c r="G7" s="185" t="s">
        <v>202</v>
      </c>
      <c r="H7" s="191">
        <v>200.0</v>
      </c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B8" s="185" t="s">
        <v>356</v>
      </c>
      <c r="C8" s="185">
        <v>94.0</v>
      </c>
      <c r="D8" s="186" t="s">
        <v>40</v>
      </c>
      <c r="E8" s="181"/>
      <c r="F8" s="184">
        <v>45732.0</v>
      </c>
      <c r="G8" s="185" t="s">
        <v>632</v>
      </c>
      <c r="H8" s="191">
        <v>300.0</v>
      </c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228">
        <v>45717.0</v>
      </c>
      <c r="B9" s="185" t="s">
        <v>125</v>
      </c>
      <c r="C9" s="185">
        <v>260.0</v>
      </c>
      <c r="D9" s="186" t="s">
        <v>40</v>
      </c>
      <c r="E9" s="181"/>
      <c r="F9" s="184">
        <v>45738.0</v>
      </c>
      <c r="G9" s="185" t="s">
        <v>761</v>
      </c>
      <c r="H9" s="191">
        <v>1000.0</v>
      </c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B10" s="185" t="s">
        <v>89</v>
      </c>
      <c r="C10" s="185">
        <v>63.0</v>
      </c>
      <c r="D10" s="186" t="s">
        <v>40</v>
      </c>
      <c r="E10" s="181"/>
      <c r="F10" s="184">
        <v>45742.0</v>
      </c>
      <c r="G10" s="185" t="s">
        <v>202</v>
      </c>
      <c r="H10" s="191">
        <v>250.0</v>
      </c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B11" s="185" t="s">
        <v>765</v>
      </c>
      <c r="C11" s="185">
        <v>2500.0</v>
      </c>
      <c r="D11" s="186" t="s">
        <v>803</v>
      </c>
      <c r="E11" s="181"/>
      <c r="F11" s="184">
        <v>45743.0</v>
      </c>
      <c r="G11" s="185" t="s">
        <v>202</v>
      </c>
      <c r="H11" s="191">
        <v>100.0</v>
      </c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B12" s="185" t="s">
        <v>91</v>
      </c>
      <c r="C12" s="185">
        <v>30.0</v>
      </c>
      <c r="D12" s="186" t="s">
        <v>40</v>
      </c>
      <c r="E12" s="181"/>
      <c r="F12" s="220"/>
      <c r="G12" s="195"/>
      <c r="H12" s="196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B13" s="185" t="s">
        <v>804</v>
      </c>
      <c r="C13" s="185">
        <v>22.0</v>
      </c>
      <c r="D13" s="186" t="s">
        <v>40</v>
      </c>
      <c r="E13" s="181"/>
      <c r="F13" s="197" t="s">
        <v>49</v>
      </c>
      <c r="G13" s="198">
        <f>SUM(H2:H12)</f>
        <v>27390</v>
      </c>
      <c r="H13" s="27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B14" s="185" t="s">
        <v>93</v>
      </c>
      <c r="C14" s="185">
        <v>64.0</v>
      </c>
      <c r="D14" s="186" t="s">
        <v>40</v>
      </c>
      <c r="E14" s="181"/>
      <c r="F14" s="199" t="s">
        <v>51</v>
      </c>
      <c r="G14" s="200">
        <f>SUMIF(D2:D192, "&lt;&gt;Credit", C2:C192) + G15</f>
        <v>27382</v>
      </c>
      <c r="H14" s="3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B15" s="185" t="s">
        <v>66</v>
      </c>
      <c r="C15" s="185">
        <v>3873.0</v>
      </c>
      <c r="D15" s="186" t="s">
        <v>475</v>
      </c>
      <c r="E15" s="181"/>
      <c r="F15" s="199" t="s">
        <v>707</v>
      </c>
      <c r="G15" s="201">
        <f>11+20+4-212</f>
        <v>-177</v>
      </c>
      <c r="H15" s="3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228">
        <v>45718.0</v>
      </c>
      <c r="B16" s="185" t="s">
        <v>805</v>
      </c>
      <c r="C16" s="185">
        <v>19.0</v>
      </c>
      <c r="D16" s="186" t="s">
        <v>40</v>
      </c>
      <c r="E16" s="181"/>
      <c r="F16" s="199" t="s">
        <v>55</v>
      </c>
      <c r="G16" s="201">
        <v>0.0</v>
      </c>
      <c r="H16" s="3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B17" s="185" t="s">
        <v>37</v>
      </c>
      <c r="C17" s="185">
        <v>42.0</v>
      </c>
      <c r="D17" s="186" t="s">
        <v>40</v>
      </c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B18" s="185" t="s">
        <v>806</v>
      </c>
      <c r="C18" s="185">
        <v>55.0</v>
      </c>
      <c r="D18" s="186" t="s">
        <v>40</v>
      </c>
      <c r="E18" s="181"/>
      <c r="F18" s="199" t="s">
        <v>500</v>
      </c>
      <c r="G18" s="202">
        <f>G13-G14-($G30-$H30)</f>
        <v>22503</v>
      </c>
      <c r="H18" s="3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B19" s="185" t="s">
        <v>807</v>
      </c>
      <c r="C19" s="185">
        <v>32.0</v>
      </c>
      <c r="D19" s="186" t="s">
        <v>40</v>
      </c>
      <c r="E19" s="181"/>
      <c r="F19" s="199" t="s">
        <v>501</v>
      </c>
      <c r="G19" s="203">
        <f>G13-G14</f>
        <v>8</v>
      </c>
      <c r="H19" s="3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B20" s="185" t="s">
        <v>808</v>
      </c>
      <c r="C20" s="185">
        <v>1500.0</v>
      </c>
      <c r="D20" s="186" t="s">
        <v>101</v>
      </c>
      <c r="E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B21" s="185" t="s">
        <v>84</v>
      </c>
      <c r="C21" s="185">
        <v>2000.0</v>
      </c>
      <c r="D21" s="186" t="s">
        <v>603</v>
      </c>
      <c r="E21" s="181"/>
      <c r="F21" s="204" t="s">
        <v>62</v>
      </c>
      <c r="G21" s="204" t="s">
        <v>63</v>
      </c>
      <c r="H21" s="204" t="s">
        <v>64</v>
      </c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B22" s="185" t="s">
        <v>93</v>
      </c>
      <c r="C22" s="185">
        <v>50.0</v>
      </c>
      <c r="D22" s="186" t="s">
        <v>40</v>
      </c>
      <c r="E22" s="181"/>
      <c r="F22" s="205" t="s">
        <v>40</v>
      </c>
      <c r="G22" s="206">
        <v>5000.0</v>
      </c>
      <c r="H22" s="207">
        <f>SUMIF(D2:D95, "=Living expense",C2:C113)</f>
        <v>5941</v>
      </c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B23" s="185" t="s">
        <v>592</v>
      </c>
      <c r="C23" s="185">
        <v>500.0</v>
      </c>
      <c r="D23" s="186" t="s">
        <v>40</v>
      </c>
      <c r="E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B24" s="185" t="s">
        <v>41</v>
      </c>
      <c r="C24" s="185">
        <v>1000.0</v>
      </c>
      <c r="D24" s="186" t="s">
        <v>101</v>
      </c>
      <c r="E24" s="181"/>
      <c r="F24" s="208" t="s">
        <v>67</v>
      </c>
      <c r="G24" s="2"/>
      <c r="H24" s="3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228">
        <v>45719.0</v>
      </c>
      <c r="B25" s="185" t="s">
        <v>809</v>
      </c>
      <c r="C25" s="185">
        <v>71.0</v>
      </c>
      <c r="D25" s="186" t="s">
        <v>40</v>
      </c>
      <c r="E25" s="181"/>
      <c r="F25" s="204" t="s">
        <v>62</v>
      </c>
      <c r="G25" s="204" t="s">
        <v>63</v>
      </c>
      <c r="H25" s="204" t="s">
        <v>64</v>
      </c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B26" s="185" t="s">
        <v>810</v>
      </c>
      <c r="C26" s="185">
        <v>50.0</v>
      </c>
      <c r="D26" s="186" t="s">
        <v>40</v>
      </c>
      <c r="E26" s="181"/>
      <c r="F26" s="214" t="s">
        <v>770</v>
      </c>
      <c r="G26" s="215">
        <v>3221.0</v>
      </c>
      <c r="H26" s="213">
        <f>SUMIF(D3:D202, "=Laptop",C3:C202)</f>
        <v>3221</v>
      </c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B27" s="185" t="s">
        <v>594</v>
      </c>
      <c r="C27" s="185">
        <v>-500.0</v>
      </c>
      <c r="D27" s="186" t="s">
        <v>40</v>
      </c>
      <c r="E27" s="181"/>
      <c r="F27" s="209" t="s">
        <v>12</v>
      </c>
      <c r="G27" s="210">
        <v>5000.0</v>
      </c>
      <c r="H27" s="211">
        <f>SUMIF(D4:D203, "&lt;&gt;Credit",C4:C203)</f>
        <v>27495</v>
      </c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B28" s="185" t="s">
        <v>93</v>
      </c>
      <c r="C28" s="185">
        <v>64.0</v>
      </c>
      <c r="D28" s="186" t="s">
        <v>40</v>
      </c>
      <c r="E28" s="181"/>
      <c r="F28" s="209" t="s">
        <v>475</v>
      </c>
      <c r="G28" s="210">
        <v>3873.0</v>
      </c>
      <c r="H28" s="211">
        <f>SUMIF(D5:D204, "=Rent",C5:C204)</f>
        <v>3873</v>
      </c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B29" s="185" t="s">
        <v>772</v>
      </c>
      <c r="C29" s="185">
        <v>82.0</v>
      </c>
      <c r="D29" s="186" t="s">
        <v>40</v>
      </c>
      <c r="E29" s="181"/>
      <c r="F29" s="214" t="s">
        <v>101</v>
      </c>
      <c r="G29" s="215">
        <v>2800.0</v>
      </c>
      <c r="H29" s="215">
        <f>SUMIF(D5:D204, "=Parent",C5:C204)</f>
        <v>2800</v>
      </c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B30" s="185" t="s">
        <v>770</v>
      </c>
      <c r="C30" s="185">
        <v>3221.0</v>
      </c>
      <c r="D30" s="186" t="s">
        <v>770</v>
      </c>
      <c r="E30" s="181"/>
      <c r="F30" s="216" t="s">
        <v>73</v>
      </c>
      <c r="G30" s="217">
        <f t="shared" ref="G30:H30" si="1">SUM(G24:G29)</f>
        <v>14894</v>
      </c>
      <c r="H30" s="217">
        <f t="shared" si="1"/>
        <v>37389</v>
      </c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B31" s="185" t="s">
        <v>585</v>
      </c>
      <c r="C31" s="185">
        <v>-65.0</v>
      </c>
      <c r="D31" s="186" t="s">
        <v>40</v>
      </c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B32" s="185" t="s">
        <v>587</v>
      </c>
      <c r="C32" s="185">
        <v>-65.0</v>
      </c>
      <c r="D32" s="186" t="s">
        <v>40</v>
      </c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228">
        <v>45720.0</v>
      </c>
      <c r="B33" s="185" t="s">
        <v>89</v>
      </c>
      <c r="C33" s="185">
        <v>35.0</v>
      </c>
      <c r="D33" s="186" t="s">
        <v>40</v>
      </c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B34" s="185" t="s">
        <v>708</v>
      </c>
      <c r="C34" s="185">
        <v>-65.0</v>
      </c>
      <c r="D34" s="186" t="s">
        <v>40</v>
      </c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B35" s="185" t="s">
        <v>91</v>
      </c>
      <c r="C35" s="185">
        <v>94.0</v>
      </c>
      <c r="D35" s="186" t="s">
        <v>40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228">
        <v>45721.0</v>
      </c>
      <c r="B36" s="185" t="s">
        <v>50</v>
      </c>
      <c r="C36" s="185">
        <v>75.0</v>
      </c>
      <c r="D36" s="186" t="s">
        <v>40</v>
      </c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B37" s="185" t="s">
        <v>37</v>
      </c>
      <c r="C37" s="185">
        <v>50.0</v>
      </c>
      <c r="D37" s="186" t="s">
        <v>40</v>
      </c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228">
        <v>45722.0</v>
      </c>
      <c r="B38" s="185" t="s">
        <v>50</v>
      </c>
      <c r="C38" s="185">
        <v>64.0</v>
      </c>
      <c r="D38" s="186" t="s">
        <v>40</v>
      </c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B39" s="185" t="s">
        <v>811</v>
      </c>
      <c r="C39" s="185">
        <v>480.0</v>
      </c>
      <c r="D39" s="186" t="s">
        <v>812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B40" s="185" t="s">
        <v>93</v>
      </c>
      <c r="C40" s="185">
        <v>84.0</v>
      </c>
      <c r="D40" s="186" t="s">
        <v>40</v>
      </c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B41" s="185" t="s">
        <v>808</v>
      </c>
      <c r="C41" s="185">
        <v>300.0</v>
      </c>
      <c r="D41" s="186" t="s">
        <v>101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228">
        <v>45723.0</v>
      </c>
      <c r="B42" s="185" t="s">
        <v>148</v>
      </c>
      <c r="C42" s="185">
        <v>83.0</v>
      </c>
      <c r="D42" s="186" t="s">
        <v>40</v>
      </c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B43" s="185" t="s">
        <v>296</v>
      </c>
      <c r="C43" s="185">
        <v>30.0</v>
      </c>
      <c r="D43" s="186" t="s">
        <v>40</v>
      </c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B44" s="185" t="s">
        <v>785</v>
      </c>
      <c r="C44" s="185">
        <v>229.0</v>
      </c>
      <c r="D44" s="186" t="s">
        <v>40</v>
      </c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228">
        <v>45724.0</v>
      </c>
      <c r="B45" s="185" t="s">
        <v>91</v>
      </c>
      <c r="C45" s="185">
        <v>30.0</v>
      </c>
      <c r="D45" s="186" t="s">
        <v>40</v>
      </c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B46" s="185" t="s">
        <v>273</v>
      </c>
      <c r="C46" s="185">
        <v>105.0</v>
      </c>
      <c r="D46" s="186" t="s">
        <v>40</v>
      </c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228">
        <v>45725.0</v>
      </c>
      <c r="B47" s="185" t="s">
        <v>148</v>
      </c>
      <c r="C47" s="185">
        <v>63.0</v>
      </c>
      <c r="D47" s="186" t="s">
        <v>40</v>
      </c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B48" s="185" t="s">
        <v>813</v>
      </c>
      <c r="C48" s="185">
        <v>15.0</v>
      </c>
      <c r="D48" s="186" t="s">
        <v>40</v>
      </c>
      <c r="E48" s="185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B49" s="185" t="s">
        <v>356</v>
      </c>
      <c r="C49" s="185">
        <v>75.0</v>
      </c>
      <c r="D49" s="186" t="s">
        <v>40</v>
      </c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B50" s="185" t="s">
        <v>814</v>
      </c>
      <c r="C50" s="185">
        <v>64.0</v>
      </c>
      <c r="D50" s="186" t="s">
        <v>40</v>
      </c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228">
        <v>45726.0</v>
      </c>
      <c r="B51" s="185" t="s">
        <v>815</v>
      </c>
      <c r="C51" s="185">
        <v>20.0</v>
      </c>
      <c r="D51" s="186" t="s">
        <v>40</v>
      </c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B52" s="185" t="s">
        <v>148</v>
      </c>
      <c r="C52" s="185">
        <v>28.0</v>
      </c>
      <c r="D52" s="186" t="s">
        <v>40</v>
      </c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B53" s="185" t="s">
        <v>813</v>
      </c>
      <c r="C53" s="185">
        <v>15.0</v>
      </c>
      <c r="D53" s="186" t="s">
        <v>40</v>
      </c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B54" s="185" t="s">
        <v>356</v>
      </c>
      <c r="C54" s="185">
        <v>104.0</v>
      </c>
      <c r="D54" s="186" t="s">
        <v>40</v>
      </c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B55" s="185" t="s">
        <v>624</v>
      </c>
      <c r="C55" s="185">
        <v>100.0</v>
      </c>
      <c r="D55" s="186" t="s">
        <v>40</v>
      </c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228">
        <v>45727.0</v>
      </c>
      <c r="B56" s="185" t="s">
        <v>148</v>
      </c>
      <c r="C56" s="185">
        <v>140.0</v>
      </c>
      <c r="D56" s="186" t="s">
        <v>40</v>
      </c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B57" s="185" t="s">
        <v>742</v>
      </c>
      <c r="C57" s="185">
        <v>52.0</v>
      </c>
      <c r="D57" s="186" t="s">
        <v>816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B58" s="185" t="s">
        <v>93</v>
      </c>
      <c r="C58" s="185">
        <v>50.0</v>
      </c>
      <c r="D58" s="186" t="s">
        <v>40</v>
      </c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B59" s="185" t="s">
        <v>817</v>
      </c>
      <c r="C59" s="185">
        <v>56.0</v>
      </c>
      <c r="D59" s="186" t="s">
        <v>40</v>
      </c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B60" s="185" t="s">
        <v>818</v>
      </c>
      <c r="C60" s="185">
        <v>110.0</v>
      </c>
      <c r="D60" s="186" t="s">
        <v>40</v>
      </c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B61" s="185" t="s">
        <v>568</v>
      </c>
      <c r="C61" s="185">
        <v>51.0</v>
      </c>
      <c r="D61" s="186" t="s">
        <v>40</v>
      </c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228">
        <v>45728.0</v>
      </c>
      <c r="B62" s="185" t="s">
        <v>152</v>
      </c>
      <c r="C62" s="185">
        <v>14.0</v>
      </c>
      <c r="D62" s="186" t="s">
        <v>40</v>
      </c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B63" s="185" t="s">
        <v>356</v>
      </c>
      <c r="C63" s="185">
        <v>104.0</v>
      </c>
      <c r="D63" s="186" t="s">
        <v>40</v>
      </c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228">
        <v>45729.0</v>
      </c>
      <c r="B64" s="185" t="s">
        <v>152</v>
      </c>
      <c r="C64" s="185">
        <v>24.0</v>
      </c>
      <c r="D64" s="186" t="s">
        <v>40</v>
      </c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B65" s="185" t="s">
        <v>175</v>
      </c>
      <c r="C65" s="185">
        <v>30.0</v>
      </c>
      <c r="D65" s="186" t="s">
        <v>40</v>
      </c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B66" s="185" t="s">
        <v>819</v>
      </c>
      <c r="C66" s="185">
        <v>150.0</v>
      </c>
      <c r="D66" s="186" t="s">
        <v>40</v>
      </c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228">
        <v>45730.0</v>
      </c>
      <c r="B67" s="185" t="s">
        <v>50</v>
      </c>
      <c r="C67" s="185">
        <v>30.0</v>
      </c>
      <c r="D67" s="186" t="s">
        <v>40</v>
      </c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B68" s="185" t="s">
        <v>819</v>
      </c>
      <c r="C68" s="185">
        <v>1023.0</v>
      </c>
      <c r="D68" s="186" t="s">
        <v>40</v>
      </c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B69" s="185" t="s">
        <v>93</v>
      </c>
      <c r="C69" s="185">
        <v>63.0</v>
      </c>
      <c r="D69" s="186" t="s">
        <v>40</v>
      </c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B70" s="185" t="s">
        <v>820</v>
      </c>
      <c r="C70" s="185">
        <v>120.0</v>
      </c>
      <c r="D70" s="186" t="s">
        <v>40</v>
      </c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228">
        <v>45731.0</v>
      </c>
      <c r="B71" s="185" t="s">
        <v>12</v>
      </c>
      <c r="C71" s="185">
        <v>5000.0</v>
      </c>
      <c r="D71" s="186" t="s">
        <v>12</v>
      </c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B72" s="185" t="s">
        <v>105</v>
      </c>
      <c r="C72" s="185">
        <v>30.0</v>
      </c>
      <c r="D72" s="186" t="s">
        <v>40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B73" s="185" t="s">
        <v>318</v>
      </c>
      <c r="C73" s="185">
        <v>25.0</v>
      </c>
      <c r="D73" s="186" t="s">
        <v>40</v>
      </c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B74" s="185" t="s">
        <v>148</v>
      </c>
      <c r="C74" s="185">
        <v>14.0</v>
      </c>
      <c r="D74" s="186" t="s">
        <v>40</v>
      </c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B75" s="185" t="s">
        <v>356</v>
      </c>
      <c r="C75" s="185">
        <v>124.0</v>
      </c>
      <c r="D75" s="186" t="s">
        <v>40</v>
      </c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228">
        <v>45732.0</v>
      </c>
      <c r="B76" s="185" t="s">
        <v>148</v>
      </c>
      <c r="C76" s="185">
        <v>63.0</v>
      </c>
      <c r="D76" s="186" t="s">
        <v>40</v>
      </c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B77" s="185" t="s">
        <v>37</v>
      </c>
      <c r="C77" s="185">
        <v>50.0</v>
      </c>
      <c r="D77" s="186" t="s">
        <v>40</v>
      </c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B78" s="185" t="s">
        <v>80</v>
      </c>
      <c r="C78" s="185">
        <v>90.0</v>
      </c>
      <c r="D78" s="186" t="s">
        <v>40</v>
      </c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228">
        <v>45733.0</v>
      </c>
      <c r="B79" s="185" t="s">
        <v>356</v>
      </c>
      <c r="C79" s="185">
        <v>84.0</v>
      </c>
      <c r="D79" s="186" t="s">
        <v>40</v>
      </c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228">
        <v>45734.0</v>
      </c>
      <c r="B80" s="185" t="s">
        <v>821</v>
      </c>
      <c r="C80" s="185">
        <v>86.0</v>
      </c>
      <c r="D80" s="186" t="s">
        <v>40</v>
      </c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B81" s="185" t="s">
        <v>175</v>
      </c>
      <c r="C81" s="185">
        <v>30.0</v>
      </c>
      <c r="D81" s="186" t="s">
        <v>40</v>
      </c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B82" s="185" t="s">
        <v>822</v>
      </c>
      <c r="C82" s="185">
        <v>81.0</v>
      </c>
      <c r="D82" s="186" t="s">
        <v>40</v>
      </c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B83" s="185" t="s">
        <v>823</v>
      </c>
      <c r="C83" s="185">
        <v>49.0</v>
      </c>
      <c r="D83" s="186" t="s">
        <v>40</v>
      </c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B84" s="185" t="s">
        <v>608</v>
      </c>
      <c r="C84" s="185">
        <v>18.0</v>
      </c>
      <c r="D84" s="186" t="s">
        <v>40</v>
      </c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228">
        <v>45735.0</v>
      </c>
      <c r="B85" s="185" t="s">
        <v>824</v>
      </c>
      <c r="C85" s="185">
        <v>95.0</v>
      </c>
      <c r="D85" s="186" t="s">
        <v>40</v>
      </c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B86" s="185" t="s">
        <v>216</v>
      </c>
      <c r="C86" s="185">
        <v>63.0</v>
      </c>
      <c r="D86" s="186" t="s">
        <v>40</v>
      </c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B87" s="185" t="s">
        <v>823</v>
      </c>
      <c r="C87" s="185">
        <v>49.0</v>
      </c>
      <c r="D87" s="186" t="s">
        <v>40</v>
      </c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B88" s="185" t="s">
        <v>356</v>
      </c>
      <c r="C88" s="185">
        <v>74.0</v>
      </c>
      <c r="D88" s="186" t="s">
        <v>40</v>
      </c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228">
        <v>45736.0</v>
      </c>
      <c r="B89" s="185" t="s">
        <v>356</v>
      </c>
      <c r="C89" s="185">
        <v>104.0</v>
      </c>
      <c r="D89" s="186" t="s">
        <v>40</v>
      </c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B90" s="185" t="s">
        <v>768</v>
      </c>
      <c r="C90" s="185">
        <v>20.0</v>
      </c>
      <c r="D90" s="186" t="s">
        <v>40</v>
      </c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228">
        <v>45737.0</v>
      </c>
      <c r="B91" s="185" t="s">
        <v>148</v>
      </c>
      <c r="C91" s="185">
        <v>28.0</v>
      </c>
      <c r="D91" s="186" t="s">
        <v>40</v>
      </c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B92" s="185" t="s">
        <v>160</v>
      </c>
      <c r="C92" s="185">
        <v>40.0</v>
      </c>
      <c r="D92" s="186" t="s">
        <v>40</v>
      </c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B93" s="185" t="s">
        <v>825</v>
      </c>
      <c r="C93" s="185">
        <v>210.0</v>
      </c>
      <c r="D93" s="186" t="s">
        <v>40</v>
      </c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B94" s="185" t="s">
        <v>93</v>
      </c>
      <c r="C94" s="185">
        <v>69.0</v>
      </c>
      <c r="D94" s="186" t="s">
        <v>40</v>
      </c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B95" s="185" t="s">
        <v>826</v>
      </c>
      <c r="C95" s="185">
        <v>98.0</v>
      </c>
      <c r="D95" s="186" t="s">
        <v>40</v>
      </c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B96" s="185" t="s">
        <v>305</v>
      </c>
      <c r="C96" s="185">
        <v>67.0</v>
      </c>
      <c r="D96" s="186" t="s">
        <v>40</v>
      </c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228">
        <v>45738.0</v>
      </c>
      <c r="B97" s="185" t="s">
        <v>148</v>
      </c>
      <c r="C97" s="185">
        <v>73.0</v>
      </c>
      <c r="D97" s="186" t="s">
        <v>40</v>
      </c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B98" s="185" t="s">
        <v>37</v>
      </c>
      <c r="C98" s="185">
        <v>50.0</v>
      </c>
      <c r="D98" s="186" t="s">
        <v>40</v>
      </c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B99" s="185" t="s">
        <v>295</v>
      </c>
      <c r="C99" s="185">
        <v>24.0</v>
      </c>
      <c r="D99" s="186" t="s">
        <v>40</v>
      </c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228">
        <v>45739.0</v>
      </c>
      <c r="B100" s="185" t="s">
        <v>89</v>
      </c>
      <c r="C100" s="185">
        <v>60.0</v>
      </c>
      <c r="D100" s="186" t="s">
        <v>40</v>
      </c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B101" s="185" t="s">
        <v>365</v>
      </c>
      <c r="C101" s="185">
        <v>139.0</v>
      </c>
      <c r="D101" s="186" t="s">
        <v>40</v>
      </c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B102" s="185" t="s">
        <v>826</v>
      </c>
      <c r="C102" s="185">
        <v>98.0</v>
      </c>
      <c r="D102" s="186" t="s">
        <v>40</v>
      </c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B103" s="185" t="s">
        <v>827</v>
      </c>
      <c r="C103" s="185">
        <v>256.0</v>
      </c>
      <c r="D103" s="186" t="s">
        <v>40</v>
      </c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B104" s="185" t="s">
        <v>50</v>
      </c>
      <c r="C104" s="185">
        <v>30.0</v>
      </c>
      <c r="D104" s="186" t="s">
        <v>40</v>
      </c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B105" s="185" t="s">
        <v>807</v>
      </c>
      <c r="C105" s="185">
        <v>35.0</v>
      </c>
      <c r="D105" s="186" t="s">
        <v>40</v>
      </c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B106" s="185" t="s">
        <v>93</v>
      </c>
      <c r="C106" s="185">
        <v>69.0</v>
      </c>
      <c r="D106" s="186" t="s">
        <v>40</v>
      </c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B107" s="185" t="s">
        <v>828</v>
      </c>
      <c r="C107" s="185">
        <v>0.0</v>
      </c>
      <c r="D107" s="186" t="s">
        <v>40</v>
      </c>
      <c r="E107" s="185" t="s">
        <v>829</v>
      </c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228">
        <v>45740.0</v>
      </c>
      <c r="B108" s="185" t="s">
        <v>148</v>
      </c>
      <c r="C108" s="185">
        <v>63.0</v>
      </c>
      <c r="D108" s="186" t="s">
        <v>40</v>
      </c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B109" s="185" t="s">
        <v>826</v>
      </c>
      <c r="C109" s="185">
        <v>98.0</v>
      </c>
      <c r="D109" s="186" t="s">
        <v>40</v>
      </c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B110" s="185" t="s">
        <v>356</v>
      </c>
      <c r="C110" s="185">
        <v>55.0</v>
      </c>
      <c r="D110" s="186" t="s">
        <v>40</v>
      </c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B111" s="185" t="s">
        <v>305</v>
      </c>
      <c r="C111" s="185">
        <v>78.0</v>
      </c>
      <c r="D111" s="186" t="s">
        <v>40</v>
      </c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228">
        <v>45741.0</v>
      </c>
      <c r="B112" s="185" t="s">
        <v>160</v>
      </c>
      <c r="C112" s="185">
        <v>40.0</v>
      </c>
      <c r="D112" s="186" t="s">
        <v>40</v>
      </c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B113" s="185" t="s">
        <v>172</v>
      </c>
      <c r="C113" s="185">
        <v>25.0</v>
      </c>
      <c r="D113" s="186" t="s">
        <v>40</v>
      </c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B114" s="185" t="s">
        <v>148</v>
      </c>
      <c r="C114" s="185">
        <v>83.0</v>
      </c>
      <c r="D114" s="186" t="s">
        <v>40</v>
      </c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228">
        <v>45742.0</v>
      </c>
      <c r="B115" s="185" t="s">
        <v>152</v>
      </c>
      <c r="C115" s="185">
        <v>14.0</v>
      </c>
      <c r="D115" s="186" t="s">
        <v>40</v>
      </c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B116" s="185" t="s">
        <v>89</v>
      </c>
      <c r="C116" s="185">
        <v>20.0</v>
      </c>
      <c r="D116" s="186" t="s">
        <v>40</v>
      </c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B117" s="185" t="s">
        <v>13</v>
      </c>
      <c r="C117" s="185">
        <v>50.0</v>
      </c>
      <c r="D117" s="186" t="s">
        <v>40</v>
      </c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B118" s="185" t="s">
        <v>93</v>
      </c>
      <c r="C118" s="185">
        <v>55.0</v>
      </c>
      <c r="D118" s="186" t="s">
        <v>40</v>
      </c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B119" s="185" t="s">
        <v>305</v>
      </c>
      <c r="C119" s="185">
        <v>57.0</v>
      </c>
      <c r="D119" s="186" t="s">
        <v>40</v>
      </c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B120" s="185" t="s">
        <v>830</v>
      </c>
      <c r="C120" s="185">
        <v>-65.0</v>
      </c>
      <c r="D120" s="186" t="s">
        <v>40</v>
      </c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228">
        <v>45743.0</v>
      </c>
      <c r="B121" s="185" t="s">
        <v>152</v>
      </c>
      <c r="C121" s="185">
        <v>14.0</v>
      </c>
      <c r="D121" s="186" t="s">
        <v>40</v>
      </c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B122" s="185" t="s">
        <v>831</v>
      </c>
      <c r="C122" s="185">
        <v>137.0</v>
      </c>
      <c r="D122" s="186" t="s">
        <v>40</v>
      </c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228">
        <v>45744.0</v>
      </c>
      <c r="B123" s="185" t="s">
        <v>89</v>
      </c>
      <c r="C123" s="185">
        <v>35.0</v>
      </c>
      <c r="D123" s="186" t="s">
        <v>40</v>
      </c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B124" s="185" t="s">
        <v>50</v>
      </c>
      <c r="C124" s="185">
        <v>32.0</v>
      </c>
      <c r="D124" s="186" t="s">
        <v>40</v>
      </c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228"/>
      <c r="B125" s="181"/>
      <c r="C125" s="181"/>
      <c r="D125" s="186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181"/>
      <c r="B126" s="181"/>
      <c r="C126" s="181"/>
      <c r="D126" s="186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181"/>
      <c r="B127" s="181"/>
      <c r="C127" s="181"/>
      <c r="D127" s="22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181"/>
      <c r="B128" s="181"/>
      <c r="C128" s="181"/>
      <c r="D128" s="22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181"/>
      <c r="B129" s="181"/>
      <c r="C129" s="181"/>
      <c r="D129" s="22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181"/>
      <c r="B130" s="181"/>
      <c r="C130" s="181"/>
      <c r="D130" s="22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181"/>
      <c r="B131" s="181"/>
      <c r="C131" s="181"/>
      <c r="D131" s="22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181"/>
      <c r="B132" s="181"/>
      <c r="C132" s="181"/>
      <c r="D132" s="22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181"/>
      <c r="B133" s="181"/>
      <c r="C133" s="181"/>
      <c r="D133" s="22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181"/>
      <c r="B134" s="181"/>
      <c r="C134" s="181"/>
      <c r="D134" s="22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181"/>
      <c r="B135" s="181"/>
      <c r="C135" s="181"/>
      <c r="D135" s="22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181"/>
      <c r="B136" s="181"/>
      <c r="C136" s="181"/>
      <c r="D136" s="22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181"/>
      <c r="B137" s="181"/>
      <c r="C137" s="181"/>
      <c r="D137" s="22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181"/>
      <c r="B138" s="181"/>
      <c r="C138" s="181"/>
      <c r="D138" s="22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181"/>
      <c r="B139" s="181"/>
      <c r="C139" s="181"/>
      <c r="D139" s="22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181"/>
      <c r="B140" s="181"/>
      <c r="C140" s="181"/>
      <c r="D140" s="22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181"/>
      <c r="B141" s="181"/>
      <c r="C141" s="181"/>
      <c r="D141" s="22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181"/>
      <c r="B142" s="181"/>
      <c r="C142" s="181"/>
      <c r="D142" s="22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181"/>
      <c r="B143" s="181"/>
      <c r="C143" s="181"/>
      <c r="D143" s="22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181"/>
      <c r="B144" s="181"/>
      <c r="C144" s="181"/>
      <c r="D144" s="22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181"/>
      <c r="B145" s="181"/>
      <c r="C145" s="181"/>
      <c r="D145" s="22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181"/>
      <c r="B146" s="181"/>
      <c r="C146" s="181"/>
      <c r="D146" s="22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1"/>
      <c r="B147" s="181"/>
      <c r="C147" s="181"/>
      <c r="D147" s="22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81"/>
      <c r="B148" s="181"/>
      <c r="C148" s="181"/>
      <c r="D148" s="22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181"/>
      <c r="B149" s="181"/>
      <c r="C149" s="181"/>
      <c r="D149" s="22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181"/>
      <c r="B150" s="181"/>
      <c r="C150" s="181"/>
      <c r="D150" s="22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181"/>
      <c r="B151" s="181"/>
      <c r="C151" s="181"/>
      <c r="D151" s="22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1"/>
      <c r="B152" s="181"/>
      <c r="C152" s="181"/>
      <c r="D152" s="22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181"/>
      <c r="B153" s="181"/>
      <c r="C153" s="181"/>
      <c r="D153" s="22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181"/>
      <c r="B154" s="181"/>
      <c r="C154" s="181"/>
      <c r="D154" s="22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181"/>
      <c r="B155" s="181"/>
      <c r="C155" s="181"/>
      <c r="D155" s="22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181"/>
      <c r="B156" s="181"/>
      <c r="C156" s="181"/>
      <c r="D156" s="22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181"/>
      <c r="B157" s="181"/>
      <c r="C157" s="181"/>
      <c r="D157" s="22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181"/>
      <c r="B158" s="181"/>
      <c r="C158" s="181"/>
      <c r="D158" s="22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1"/>
      <c r="B159" s="181"/>
      <c r="C159" s="181"/>
      <c r="D159" s="22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1"/>
      <c r="B160" s="181"/>
      <c r="C160" s="181"/>
      <c r="D160" s="22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1"/>
      <c r="B161" s="181"/>
      <c r="C161" s="181"/>
      <c r="D161" s="22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1"/>
      <c r="B162" s="181"/>
      <c r="C162" s="181"/>
      <c r="D162" s="22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1"/>
      <c r="B163" s="181"/>
      <c r="C163" s="181"/>
      <c r="D163" s="22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1"/>
      <c r="B164" s="181"/>
      <c r="C164" s="181"/>
      <c r="D164" s="22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1"/>
      <c r="B165" s="181"/>
      <c r="C165" s="181"/>
      <c r="D165" s="22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22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22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22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22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22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22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22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22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22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22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22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22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22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22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22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22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22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22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22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22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22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22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22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22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22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22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22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22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22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22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22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22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22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22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22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22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22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22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22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22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22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22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22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22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22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22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22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22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22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22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22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22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22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22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22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22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22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22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22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22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22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22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22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22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22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22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22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22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22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22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22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22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22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22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22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22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22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22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22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22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22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22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22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22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22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22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22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22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22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22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22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22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22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22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22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22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22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22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22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22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22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22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22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22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22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22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22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22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22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22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22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22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22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22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22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22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22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22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22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22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22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22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22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22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22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22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22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22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22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22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22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22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22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22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22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22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22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22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22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22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22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22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22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22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22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22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22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22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22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22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22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22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22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22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22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22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22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22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22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22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22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22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22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22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22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22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22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22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22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22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22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22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22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22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22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22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22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22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22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22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22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22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22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22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22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22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22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22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22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22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22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22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22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22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22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22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22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22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22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22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22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22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22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22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22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22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22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22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22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22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22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22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22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22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22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22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22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22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22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22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22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22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22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22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22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22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22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22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22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22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22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22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22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22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22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22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22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22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22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22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22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22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22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22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22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22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22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22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22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22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22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22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22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22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22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22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22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22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22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22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22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22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22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22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22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22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22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22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22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22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22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22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22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22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22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22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22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22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22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22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22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22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22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22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22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22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22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22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22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22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22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22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22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22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22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22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22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22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22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22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22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22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22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22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22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22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22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22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22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22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22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22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22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22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22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22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22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22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22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22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22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22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22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22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22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22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22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22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22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22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22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22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22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22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22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22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22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22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22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22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22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22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22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22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22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22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22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22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22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22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22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22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22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22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22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22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22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22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22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22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22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22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22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22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22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22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22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22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22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22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22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22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22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22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22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22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22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22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22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22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22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22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22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22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22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22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22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22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22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22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22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22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22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22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22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22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22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22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22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22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22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22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22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22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22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22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22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22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22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22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22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22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22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22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22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22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22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22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22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22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22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22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22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22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22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22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22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22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22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22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22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22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22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22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22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22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22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22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22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22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22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22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22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22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22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22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22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22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22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22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22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22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22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22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22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22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22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22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22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22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22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22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22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22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22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22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22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22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22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22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22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22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22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22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22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22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22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22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22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22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22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22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22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22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22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22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22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22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22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22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22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22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22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22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22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22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22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22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22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22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22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22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22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22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22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22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22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22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22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22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22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22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22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22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22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22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22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22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22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22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22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22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22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22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22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22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22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22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22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22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22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22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22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22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22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22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22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22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22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22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22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22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22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22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22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22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22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22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22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22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22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22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22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22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22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22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22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22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22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22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22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22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22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22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22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22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22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22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22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22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22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22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22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22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22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22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22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22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22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22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22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22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22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22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22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22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22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22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22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22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22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22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22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22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22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22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22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22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22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22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22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22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22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22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22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22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22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22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22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22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22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22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22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22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22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22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22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22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22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22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22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22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22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22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22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22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22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22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22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22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22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22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22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22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22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22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22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22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22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22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22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22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22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22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22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22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22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22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22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22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22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22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22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22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22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22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22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22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22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22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22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22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22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22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22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22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22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22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22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22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22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22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22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22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22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22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22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22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22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22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22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22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22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22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22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22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22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22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22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22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22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22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22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22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22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22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22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22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22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22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22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22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22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22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22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22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22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22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22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22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22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22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22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22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22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22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22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22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22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22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22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22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22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22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22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22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22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22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22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22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22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22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22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22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22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22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22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22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22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22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22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22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22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22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22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22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22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22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22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22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22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22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22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22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22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22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22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22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22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22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22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22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22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22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22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22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22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22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22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22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181"/>
      <c r="D936" s="22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181"/>
      <c r="B937" s="181"/>
      <c r="C937" s="181"/>
      <c r="D937" s="22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181"/>
      <c r="B938" s="181"/>
      <c r="C938" s="181"/>
      <c r="D938" s="22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181"/>
      <c r="B939" s="181"/>
      <c r="C939" s="181"/>
      <c r="D939" s="22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181"/>
      <c r="B940" s="181"/>
      <c r="C940" s="181"/>
      <c r="D940" s="22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181"/>
      <c r="B941" s="181"/>
      <c r="C941" s="181"/>
      <c r="D941" s="22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181"/>
      <c r="B942" s="181"/>
      <c r="C942" s="181"/>
      <c r="D942" s="22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181"/>
      <c r="B943" s="181"/>
      <c r="C943" s="181"/>
      <c r="D943" s="22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181"/>
      <c r="B944" s="181"/>
      <c r="C944" s="181"/>
      <c r="D944" s="22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181"/>
      <c r="B945" s="181"/>
      <c r="C945" s="181"/>
      <c r="D945" s="22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181"/>
      <c r="B946" s="181"/>
      <c r="C946" s="181"/>
      <c r="D946" s="22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181"/>
      <c r="B947" s="181"/>
      <c r="C947" s="181"/>
      <c r="D947" s="22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181"/>
      <c r="B948" s="181"/>
      <c r="C948" s="181"/>
      <c r="D948" s="22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181"/>
      <c r="B949" s="181"/>
      <c r="C949" s="181"/>
      <c r="D949" s="22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181"/>
      <c r="B950" s="181"/>
      <c r="C950" s="181"/>
      <c r="D950" s="22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181"/>
      <c r="B951" s="181"/>
      <c r="C951" s="181"/>
      <c r="D951" s="22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181"/>
      <c r="B952" s="181"/>
      <c r="C952" s="181"/>
      <c r="D952" s="22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181"/>
      <c r="B953" s="181"/>
      <c r="C953" s="181"/>
      <c r="D953" s="22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181"/>
      <c r="B954" s="181"/>
      <c r="C954" s="181"/>
      <c r="D954" s="22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181"/>
      <c r="B955" s="181"/>
      <c r="C955" s="181"/>
      <c r="D955" s="22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181"/>
      <c r="B956" s="181"/>
      <c r="C956" s="181"/>
      <c r="D956" s="22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181"/>
      <c r="B957" s="181"/>
      <c r="C957" s="181"/>
      <c r="D957" s="22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181"/>
      <c r="B958" s="181"/>
      <c r="C958" s="181"/>
      <c r="D958" s="22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181"/>
      <c r="B959" s="181"/>
      <c r="C959" s="181"/>
      <c r="D959" s="22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181"/>
      <c r="B960" s="181"/>
      <c r="C960" s="181"/>
      <c r="D960" s="22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181"/>
      <c r="B961" s="181"/>
      <c r="C961" s="181"/>
      <c r="D961" s="22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181"/>
      <c r="B962" s="181"/>
      <c r="C962" s="181"/>
      <c r="D962" s="22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181"/>
      <c r="B963" s="181"/>
      <c r="C963" s="181"/>
      <c r="D963" s="22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181"/>
      <c r="B964" s="181"/>
      <c r="C964" s="181"/>
      <c r="D964" s="22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181"/>
      <c r="B965" s="181"/>
      <c r="C965" s="181"/>
      <c r="D965" s="22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181"/>
      <c r="B966" s="181"/>
      <c r="C966" s="181"/>
      <c r="D966" s="22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181"/>
      <c r="B967" s="181"/>
      <c r="C967" s="181"/>
      <c r="D967" s="22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181"/>
      <c r="B968" s="181"/>
      <c r="C968" s="181"/>
      <c r="D968" s="22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181"/>
      <c r="B969" s="181"/>
      <c r="C969" s="181"/>
      <c r="D969" s="22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181"/>
      <c r="B970" s="181"/>
      <c r="C970" s="181"/>
      <c r="D970" s="22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>
      <c r="A971" s="181"/>
      <c r="B971" s="181"/>
      <c r="C971" s="181"/>
      <c r="D971" s="22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>
      <c r="A972" s="181"/>
      <c r="B972" s="181"/>
      <c r="C972" s="181"/>
      <c r="D972" s="22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>
      <c r="A973" s="181"/>
      <c r="B973" s="181"/>
      <c r="C973" s="181"/>
      <c r="D973" s="22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>
      <c r="A974" s="181"/>
      <c r="B974" s="181"/>
      <c r="C974" s="181"/>
      <c r="D974" s="22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>
      <c r="A975" s="181"/>
      <c r="B975" s="181"/>
      <c r="C975" s="181"/>
      <c r="D975" s="22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>
      <c r="A976" s="181"/>
      <c r="B976" s="181"/>
      <c r="C976" s="181"/>
      <c r="D976" s="22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>
      <c r="A977" s="181"/>
      <c r="B977" s="181"/>
      <c r="C977" s="181"/>
      <c r="D977" s="22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>
      <c r="A978" s="181"/>
      <c r="B978" s="181"/>
      <c r="C978" s="181"/>
      <c r="D978" s="22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>
      <c r="A979" s="181"/>
      <c r="B979" s="181"/>
      <c r="C979" s="181"/>
      <c r="D979" s="22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>
      <c r="A980" s="181"/>
      <c r="B980" s="181"/>
      <c r="C980" s="181"/>
      <c r="D980" s="22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>
      <c r="A981" s="181"/>
      <c r="B981" s="181"/>
      <c r="C981" s="181"/>
      <c r="D981" s="22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>
      <c r="A982" s="181"/>
      <c r="B982" s="181"/>
      <c r="C982" s="181"/>
      <c r="D982" s="22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>
      <c r="A983" s="181"/>
      <c r="B983" s="181"/>
      <c r="C983" s="181"/>
      <c r="D983" s="22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>
      <c r="A984" s="181"/>
      <c r="B984" s="181"/>
      <c r="C984" s="181"/>
      <c r="D984" s="22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>
      <c r="A985" s="181"/>
      <c r="B985" s="181"/>
      <c r="C985" s="181"/>
      <c r="D985" s="22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>
      <c r="A986" s="181"/>
      <c r="B986" s="181"/>
      <c r="C986" s="181"/>
      <c r="D986" s="22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>
      <c r="A987" s="181"/>
      <c r="B987" s="181"/>
      <c r="C987" s="181"/>
      <c r="D987" s="22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>
      <c r="A988" s="181"/>
      <c r="B988" s="181"/>
      <c r="C988" s="181"/>
      <c r="D988" s="22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>
      <c r="A989" s="181"/>
      <c r="B989" s="181"/>
      <c r="C989" s="181"/>
      <c r="D989" s="22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>
      <c r="A990" s="181"/>
      <c r="B990" s="181"/>
      <c r="C990" s="181"/>
      <c r="D990" s="22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>
      <c r="A991" s="181"/>
      <c r="B991" s="181"/>
      <c r="C991" s="181"/>
      <c r="D991" s="22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>
      <c r="A992" s="181"/>
      <c r="B992" s="181"/>
      <c r="C992" s="181"/>
      <c r="D992" s="22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>
      <c r="A993" s="181"/>
      <c r="B993" s="181"/>
      <c r="C993" s="181"/>
      <c r="D993" s="22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>
      <c r="A994" s="181"/>
      <c r="B994" s="181"/>
      <c r="C994" s="181"/>
      <c r="D994" s="22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>
      <c r="A995" s="181"/>
      <c r="B995" s="181"/>
      <c r="C995" s="181"/>
      <c r="D995" s="22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>
      <c r="A996" s="181"/>
      <c r="B996" s="181"/>
      <c r="C996" s="181"/>
      <c r="D996" s="22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>
      <c r="A997" s="181"/>
      <c r="B997" s="181"/>
      <c r="C997" s="181"/>
      <c r="D997" s="22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>
      <c r="A998" s="181"/>
      <c r="B998" s="181"/>
      <c r="C998" s="181"/>
      <c r="D998" s="22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>
      <c r="A999" s="181"/>
      <c r="B999" s="181"/>
      <c r="C999" s="181"/>
      <c r="D999" s="22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>
      <c r="A1000" s="181"/>
      <c r="B1000" s="181"/>
      <c r="C1000" s="181"/>
      <c r="D1000" s="22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  <row r="1001">
      <c r="A1001" s="181"/>
      <c r="B1001" s="181"/>
      <c r="C1001" s="181"/>
      <c r="D1001" s="221"/>
      <c r="E1001" s="181"/>
      <c r="F1001" s="181"/>
      <c r="G1001" s="181"/>
      <c r="H1001" s="181"/>
      <c r="I1001" s="181"/>
      <c r="J1001" s="181"/>
      <c r="K1001" s="181"/>
      <c r="L1001" s="181"/>
      <c r="M1001" s="181"/>
      <c r="N1001" s="181"/>
      <c r="O1001" s="181"/>
      <c r="P1001" s="181"/>
      <c r="Q1001" s="181"/>
      <c r="R1001" s="181"/>
      <c r="S1001" s="181"/>
      <c r="T1001" s="181"/>
      <c r="U1001" s="181"/>
      <c r="V1001" s="181"/>
      <c r="W1001" s="181"/>
      <c r="X1001" s="181"/>
      <c r="Y1001" s="181"/>
      <c r="Z1001" s="181"/>
    </row>
    <row r="1002">
      <c r="A1002" s="181"/>
      <c r="B1002" s="181"/>
      <c r="C1002" s="181"/>
      <c r="D1002" s="221"/>
      <c r="E1002" s="181"/>
      <c r="F1002" s="181"/>
      <c r="G1002" s="181"/>
      <c r="H1002" s="181"/>
      <c r="I1002" s="181"/>
      <c r="J1002" s="181"/>
      <c r="K1002" s="181"/>
      <c r="L1002" s="181"/>
      <c r="M1002" s="181"/>
      <c r="N1002" s="181"/>
      <c r="O1002" s="181"/>
      <c r="P1002" s="181"/>
      <c r="Q1002" s="181"/>
      <c r="R1002" s="181"/>
      <c r="S1002" s="181"/>
      <c r="T1002" s="181"/>
      <c r="U1002" s="181"/>
      <c r="V1002" s="181"/>
      <c r="W1002" s="181"/>
      <c r="X1002" s="181"/>
      <c r="Y1002" s="181"/>
      <c r="Z1002" s="181"/>
    </row>
    <row r="1003">
      <c r="A1003" s="181"/>
      <c r="B1003" s="181"/>
      <c r="C1003" s="181"/>
      <c r="D1003" s="221"/>
      <c r="E1003" s="181"/>
      <c r="F1003" s="181"/>
      <c r="G1003" s="181"/>
      <c r="H1003" s="181"/>
      <c r="I1003" s="181"/>
      <c r="J1003" s="181"/>
      <c r="K1003" s="181"/>
      <c r="L1003" s="181"/>
      <c r="M1003" s="181"/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  <c r="X1003" s="181"/>
      <c r="Y1003" s="181"/>
      <c r="Z1003" s="181"/>
    </row>
    <row r="1004">
      <c r="A1004" s="181"/>
      <c r="B1004" s="181"/>
      <c r="C1004" s="181"/>
      <c r="D1004" s="221"/>
      <c r="E1004" s="181"/>
      <c r="F1004" s="181"/>
      <c r="G1004" s="181"/>
      <c r="H1004" s="181"/>
      <c r="I1004" s="181"/>
      <c r="J1004" s="181"/>
      <c r="K1004" s="181"/>
      <c r="L1004" s="181"/>
      <c r="M1004" s="181"/>
      <c r="N1004" s="181"/>
      <c r="O1004" s="181"/>
      <c r="P1004" s="181"/>
      <c r="Q1004" s="181"/>
      <c r="R1004" s="181"/>
      <c r="S1004" s="181"/>
      <c r="T1004" s="181"/>
      <c r="U1004" s="181"/>
      <c r="V1004" s="181"/>
      <c r="W1004" s="181"/>
      <c r="X1004" s="181"/>
      <c r="Y1004" s="181"/>
      <c r="Z1004" s="181"/>
    </row>
    <row r="1005">
      <c r="A1005" s="181"/>
      <c r="B1005" s="181"/>
      <c r="C1005" s="181"/>
      <c r="D1005" s="221"/>
      <c r="E1005" s="181"/>
      <c r="F1005" s="181"/>
      <c r="G1005" s="181"/>
      <c r="H1005" s="181"/>
      <c r="I1005" s="181"/>
      <c r="J1005" s="181"/>
      <c r="K1005" s="181"/>
      <c r="L1005" s="181"/>
      <c r="M1005" s="181"/>
      <c r="N1005" s="181"/>
      <c r="O1005" s="181"/>
      <c r="P1005" s="181"/>
      <c r="Q1005" s="181"/>
      <c r="R1005" s="181"/>
      <c r="S1005" s="181"/>
      <c r="T1005" s="181"/>
      <c r="U1005" s="181"/>
      <c r="V1005" s="181"/>
      <c r="W1005" s="181"/>
      <c r="X1005" s="181"/>
      <c r="Y1005" s="181"/>
      <c r="Z1005" s="181"/>
    </row>
    <row r="1006">
      <c r="A1006" s="181"/>
      <c r="B1006" s="181"/>
      <c r="C1006" s="181"/>
      <c r="D1006" s="221"/>
      <c r="E1006" s="181"/>
      <c r="F1006" s="181"/>
      <c r="G1006" s="181"/>
      <c r="H1006" s="181"/>
      <c r="I1006" s="181"/>
      <c r="J1006" s="181"/>
      <c r="K1006" s="181"/>
      <c r="L1006" s="181"/>
      <c r="M1006" s="181"/>
      <c r="N1006" s="181"/>
      <c r="O1006" s="181"/>
      <c r="P1006" s="181"/>
      <c r="Q1006" s="181"/>
      <c r="R1006" s="181"/>
      <c r="S1006" s="181"/>
      <c r="T1006" s="181"/>
      <c r="U1006" s="181"/>
      <c r="V1006" s="181"/>
      <c r="W1006" s="181"/>
      <c r="X1006" s="181"/>
      <c r="Y1006" s="181"/>
      <c r="Z1006" s="181"/>
    </row>
  </sheetData>
  <mergeCells count="38">
    <mergeCell ref="G16:H16"/>
    <mergeCell ref="G18:H18"/>
    <mergeCell ref="G19:H19"/>
    <mergeCell ref="F24:H24"/>
    <mergeCell ref="A2:A4"/>
    <mergeCell ref="F2:F3"/>
    <mergeCell ref="A5:A8"/>
    <mergeCell ref="F5:F6"/>
    <mergeCell ref="G13:H13"/>
    <mergeCell ref="G14:H14"/>
    <mergeCell ref="G15:H15"/>
    <mergeCell ref="A9:A15"/>
    <mergeCell ref="A16:A24"/>
    <mergeCell ref="A25:A32"/>
    <mergeCell ref="A33:A35"/>
    <mergeCell ref="A36:A37"/>
    <mergeCell ref="A38:A41"/>
    <mergeCell ref="A42:A44"/>
    <mergeCell ref="A45:A46"/>
    <mergeCell ref="A47:A50"/>
    <mergeCell ref="A51:A55"/>
    <mergeCell ref="A56:A61"/>
    <mergeCell ref="A62:A63"/>
    <mergeCell ref="A64:A66"/>
    <mergeCell ref="A67:A70"/>
    <mergeCell ref="A100:A107"/>
    <mergeCell ref="A108:A111"/>
    <mergeCell ref="A112:A114"/>
    <mergeCell ref="A115:A120"/>
    <mergeCell ref="A121:A122"/>
    <mergeCell ref="A123:A124"/>
    <mergeCell ref="A71:A75"/>
    <mergeCell ref="A76:A78"/>
    <mergeCell ref="A80:A84"/>
    <mergeCell ref="A85:A88"/>
    <mergeCell ref="A89:A90"/>
    <mergeCell ref="A91:A96"/>
    <mergeCell ref="A97:A99"/>
  </mergeCells>
  <conditionalFormatting sqref="B2:D504">
    <cfRule type="expression" dxfId="1" priority="1">
      <formula>AND($C2&gt;500, $D2="Living expense")</formula>
    </cfRule>
  </conditionalFormatting>
  <conditionalFormatting sqref="B2:D504">
    <cfRule type="expression" dxfId="2" priority="2">
      <formula>AND($C2&gt;200, $D2="Living expense")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6.0"/>
    <col customWidth="1" min="3" max="3" width="15.38"/>
    <col customWidth="1" min="4" max="4" width="19.0"/>
    <col customWidth="1" min="6" max="6" width="23.25"/>
    <col customWidth="1" min="7" max="7" width="24.5"/>
    <col customWidth="1" min="8" max="8" width="16.25"/>
  </cols>
  <sheetData>
    <row r="1">
      <c r="A1" s="225" t="s">
        <v>24</v>
      </c>
      <c r="B1" s="226" t="s">
        <v>25</v>
      </c>
      <c r="C1" s="226" t="s">
        <v>26</v>
      </c>
      <c r="D1" s="226" t="s">
        <v>27</v>
      </c>
      <c r="E1" s="181"/>
      <c r="F1" s="227" t="s">
        <v>24</v>
      </c>
      <c r="G1" s="227" t="s">
        <v>28</v>
      </c>
      <c r="H1" s="227" t="s">
        <v>26</v>
      </c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228">
        <v>45689.0</v>
      </c>
      <c r="B2" s="185" t="s">
        <v>125</v>
      </c>
      <c r="C2" s="185">
        <v>260.0</v>
      </c>
      <c r="D2" s="186" t="s">
        <v>40</v>
      </c>
      <c r="E2" s="181"/>
      <c r="F2" s="187">
        <v>45689.0</v>
      </c>
      <c r="G2" s="188" t="s">
        <v>832</v>
      </c>
      <c r="H2" s="189">
        <v>12885.0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B3" s="185" t="s">
        <v>491</v>
      </c>
      <c r="C3" s="185">
        <v>20.0</v>
      </c>
      <c r="D3" s="186" t="s">
        <v>40</v>
      </c>
      <c r="E3" s="181"/>
      <c r="F3" s="184">
        <v>45690.0</v>
      </c>
      <c r="G3" s="185" t="s">
        <v>833</v>
      </c>
      <c r="H3" s="191">
        <v>1000.0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B4" s="185" t="s">
        <v>89</v>
      </c>
      <c r="C4" s="185">
        <v>40.0</v>
      </c>
      <c r="D4" s="186" t="s">
        <v>40</v>
      </c>
      <c r="E4" s="181"/>
      <c r="F4" s="184">
        <v>45691.0</v>
      </c>
      <c r="G4" s="185" t="s">
        <v>834</v>
      </c>
      <c r="H4" s="191">
        <v>257.0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B5" s="185" t="s">
        <v>56</v>
      </c>
      <c r="C5" s="185">
        <v>15.0</v>
      </c>
      <c r="D5" s="186" t="s">
        <v>40</v>
      </c>
      <c r="E5" s="181"/>
      <c r="F5" s="184">
        <v>45692.0</v>
      </c>
      <c r="G5" s="185" t="s">
        <v>632</v>
      </c>
      <c r="H5" s="191">
        <v>2500.0</v>
      </c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B6" s="185" t="s">
        <v>258</v>
      </c>
      <c r="C6" s="185">
        <v>35.0</v>
      </c>
      <c r="D6" s="186" t="s">
        <v>40</v>
      </c>
      <c r="E6" s="181"/>
      <c r="F6" s="184">
        <v>45693.0</v>
      </c>
      <c r="G6" s="185" t="s">
        <v>422</v>
      </c>
      <c r="H6" s="191">
        <v>200.0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B7" s="185" t="s">
        <v>587</v>
      </c>
      <c r="C7" s="185">
        <v>-65.0</v>
      </c>
      <c r="D7" s="186" t="s">
        <v>40</v>
      </c>
      <c r="E7" s="181"/>
      <c r="F7" s="184">
        <v>45701.0</v>
      </c>
      <c r="G7" s="185" t="s">
        <v>199</v>
      </c>
      <c r="H7" s="191">
        <v>2000.0</v>
      </c>
      <c r="I7" s="185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B8" s="185" t="s">
        <v>708</v>
      </c>
      <c r="C8" s="185">
        <v>-65.0</v>
      </c>
      <c r="D8" s="186" t="s">
        <v>40</v>
      </c>
      <c r="E8" s="181"/>
      <c r="F8" s="184">
        <v>45704.0</v>
      </c>
      <c r="G8" s="185" t="s">
        <v>202</v>
      </c>
      <c r="H8" s="191">
        <v>500.0</v>
      </c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B9" s="185" t="s">
        <v>835</v>
      </c>
      <c r="C9" s="185">
        <v>197.0</v>
      </c>
      <c r="D9" s="186" t="s">
        <v>40</v>
      </c>
      <c r="E9" s="185"/>
      <c r="F9" s="92"/>
      <c r="G9" s="185" t="s">
        <v>632</v>
      </c>
      <c r="H9" s="191">
        <v>500.0</v>
      </c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B10" s="185" t="s">
        <v>172</v>
      </c>
      <c r="C10" s="185">
        <v>25.0</v>
      </c>
      <c r="D10" s="186" t="s">
        <v>40</v>
      </c>
      <c r="E10" s="181"/>
      <c r="F10" s="184">
        <v>45710.0</v>
      </c>
      <c r="G10" s="185" t="s">
        <v>836</v>
      </c>
      <c r="H10" s="191">
        <v>500.0</v>
      </c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B11" s="185" t="s">
        <v>130</v>
      </c>
      <c r="C11" s="185">
        <v>60.0</v>
      </c>
      <c r="D11" s="186" t="s">
        <v>40</v>
      </c>
      <c r="E11" s="181"/>
      <c r="F11" s="184">
        <v>45712.0</v>
      </c>
      <c r="G11" s="185" t="s">
        <v>632</v>
      </c>
      <c r="H11" s="191">
        <v>100.0</v>
      </c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B12" s="185" t="s">
        <v>56</v>
      </c>
      <c r="C12" s="185">
        <v>11.0</v>
      </c>
      <c r="D12" s="186" t="s">
        <v>40</v>
      </c>
      <c r="E12" s="181"/>
      <c r="F12" s="229">
        <v>45713.0</v>
      </c>
      <c r="G12" s="223" t="s">
        <v>632</v>
      </c>
      <c r="H12" s="224">
        <v>300.0</v>
      </c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228">
        <v>45690.0</v>
      </c>
      <c r="B13" s="185" t="s">
        <v>454</v>
      </c>
      <c r="C13" s="185">
        <v>60.0</v>
      </c>
      <c r="D13" s="186" t="s">
        <v>40</v>
      </c>
      <c r="E13" s="181"/>
      <c r="F13" s="197" t="s">
        <v>49</v>
      </c>
      <c r="G13" s="198">
        <f>SUM(H2:H12)</f>
        <v>20742</v>
      </c>
      <c r="H13" s="27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B14" s="185" t="s">
        <v>712</v>
      </c>
      <c r="C14" s="185">
        <v>35.0</v>
      </c>
      <c r="D14" s="186" t="s">
        <v>40</v>
      </c>
      <c r="E14" s="181"/>
      <c r="F14" s="199" t="s">
        <v>51</v>
      </c>
      <c r="G14" s="200">
        <f>SUM(C2:C186) + G15</f>
        <v>20702</v>
      </c>
      <c r="H14" s="3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B15" s="185" t="s">
        <v>712</v>
      </c>
      <c r="C15" s="185">
        <v>35.0</v>
      </c>
      <c r="D15" s="186" t="s">
        <v>40</v>
      </c>
      <c r="E15" s="181"/>
      <c r="F15" s="199" t="s">
        <v>707</v>
      </c>
      <c r="G15" s="201">
        <f>-10+1250-339-65+6+29+55</f>
        <v>926</v>
      </c>
      <c r="H15" s="3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B16" s="185" t="s">
        <v>167</v>
      </c>
      <c r="C16" s="185">
        <v>10.0</v>
      </c>
      <c r="D16" s="186" t="s">
        <v>40</v>
      </c>
      <c r="E16" s="181"/>
      <c r="F16" s="199" t="s">
        <v>55</v>
      </c>
      <c r="G16" s="201">
        <v>0.0</v>
      </c>
      <c r="H16" s="3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B17" s="185" t="s">
        <v>592</v>
      </c>
      <c r="C17" s="185">
        <v>1000.0</v>
      </c>
      <c r="D17" s="186" t="s">
        <v>34</v>
      </c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B18" s="185" t="s">
        <v>594</v>
      </c>
      <c r="C18" s="185">
        <v>-1000.0</v>
      </c>
      <c r="D18" s="186" t="s">
        <v>34</v>
      </c>
      <c r="E18" s="181"/>
      <c r="F18" s="199" t="s">
        <v>500</v>
      </c>
      <c r="G18" s="202">
        <f>G13-G14-($G28-$H28)</f>
        <v>40</v>
      </c>
      <c r="H18" s="3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B19" s="185" t="s">
        <v>837</v>
      </c>
      <c r="C19" s="185">
        <v>13.0</v>
      </c>
      <c r="D19" s="186" t="s">
        <v>40</v>
      </c>
      <c r="E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B20" s="185" t="s">
        <v>838</v>
      </c>
      <c r="C20" s="185">
        <v>2418.0</v>
      </c>
      <c r="D20" s="186" t="s">
        <v>475</v>
      </c>
      <c r="E20" s="181"/>
      <c r="F20" s="204" t="s">
        <v>62</v>
      </c>
      <c r="G20" s="204" t="s">
        <v>63</v>
      </c>
      <c r="H20" s="204" t="s">
        <v>64</v>
      </c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228">
        <v>45691.0</v>
      </c>
      <c r="B21" s="185" t="s">
        <v>839</v>
      </c>
      <c r="C21" s="185">
        <v>65.0</v>
      </c>
      <c r="D21" s="186" t="s">
        <v>40</v>
      </c>
      <c r="E21" s="181"/>
      <c r="F21" s="205" t="s">
        <v>40</v>
      </c>
      <c r="G21" s="206">
        <v>5000.0</v>
      </c>
      <c r="H21" s="207">
        <f>SUMIF(D2:D108, "=Living expense",C2:C108)</f>
        <v>6171</v>
      </c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B22" s="185" t="s">
        <v>840</v>
      </c>
      <c r="C22" s="185">
        <v>30.0</v>
      </c>
      <c r="D22" s="186" t="s">
        <v>40</v>
      </c>
      <c r="E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B23" s="185" t="s">
        <v>56</v>
      </c>
      <c r="C23" s="185">
        <v>15.0</v>
      </c>
      <c r="D23" s="186" t="s">
        <v>40</v>
      </c>
      <c r="E23" s="181"/>
      <c r="F23" s="208" t="s">
        <v>67</v>
      </c>
      <c r="G23" s="2"/>
      <c r="H23" s="3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B24" s="185" t="s">
        <v>841</v>
      </c>
      <c r="C24" s="185">
        <v>80.0</v>
      </c>
      <c r="D24" s="186" t="s">
        <v>40</v>
      </c>
      <c r="E24" s="181"/>
      <c r="F24" s="204" t="s">
        <v>62</v>
      </c>
      <c r="G24" s="204" t="s">
        <v>63</v>
      </c>
      <c r="H24" s="204" t="s">
        <v>64</v>
      </c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B25" s="185" t="s">
        <v>50</v>
      </c>
      <c r="C25" s="185">
        <v>70.0</v>
      </c>
      <c r="D25" s="186" t="s">
        <v>40</v>
      </c>
      <c r="E25" s="181"/>
      <c r="F25" s="214" t="s">
        <v>770</v>
      </c>
      <c r="G25" s="215">
        <v>3224.0</v>
      </c>
      <c r="H25" s="213">
        <f>SUMIF(D3:D196, "=Laptop",C3:C196)</f>
        <v>3224</v>
      </c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B26" s="185" t="s">
        <v>37</v>
      </c>
      <c r="C26" s="185">
        <v>40.0</v>
      </c>
      <c r="D26" s="186" t="s">
        <v>40</v>
      </c>
      <c r="E26" s="181"/>
      <c r="F26" s="209" t="s">
        <v>12</v>
      </c>
      <c r="G26" s="211">
        <v>3000.0</v>
      </c>
      <c r="H26" s="211">
        <f>SUMIF(D4:D197, "=Gonsa",C4:C197)</f>
        <v>3000</v>
      </c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B27" s="185" t="s">
        <v>462</v>
      </c>
      <c r="C27" s="185">
        <v>5.0</v>
      </c>
      <c r="D27" s="186" t="s">
        <v>40</v>
      </c>
      <c r="E27" s="181"/>
      <c r="F27" s="209" t="s">
        <v>475</v>
      </c>
      <c r="G27" s="210">
        <v>2418.0</v>
      </c>
      <c r="H27" s="211">
        <f>SUMIF(D5:D198, "=Rent",C5:C198)</f>
        <v>2418</v>
      </c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B28" s="185" t="s">
        <v>842</v>
      </c>
      <c r="C28" s="185">
        <v>57.0</v>
      </c>
      <c r="D28" s="186" t="s">
        <v>40</v>
      </c>
      <c r="E28" s="181"/>
      <c r="F28" s="216" t="s">
        <v>73</v>
      </c>
      <c r="G28" s="217">
        <f t="shared" ref="G28:H28" si="1">SUM(G23:G27)</f>
        <v>8642</v>
      </c>
      <c r="H28" s="217">
        <f t="shared" si="1"/>
        <v>8642</v>
      </c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B29" s="185" t="s">
        <v>300</v>
      </c>
      <c r="C29" s="185">
        <v>60.0</v>
      </c>
      <c r="D29" s="186" t="s">
        <v>40</v>
      </c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B30" s="185" t="s">
        <v>843</v>
      </c>
      <c r="C30" s="185">
        <v>990.0</v>
      </c>
      <c r="D30" s="186" t="s">
        <v>101</v>
      </c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B31" s="185" t="s">
        <v>153</v>
      </c>
      <c r="C31" s="185">
        <v>70.0</v>
      </c>
      <c r="D31" s="186" t="s">
        <v>40</v>
      </c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B32" s="185" t="s">
        <v>548</v>
      </c>
      <c r="C32" s="185">
        <v>300.0</v>
      </c>
      <c r="D32" s="186" t="s">
        <v>101</v>
      </c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B33" s="185" t="s">
        <v>207</v>
      </c>
      <c r="C33" s="185">
        <v>161.0</v>
      </c>
      <c r="D33" s="186" t="s">
        <v>40</v>
      </c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B34" s="185" t="s">
        <v>817</v>
      </c>
      <c r="C34" s="185">
        <v>54.0</v>
      </c>
      <c r="D34" s="186" t="s">
        <v>40</v>
      </c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B35" s="185" t="s">
        <v>592</v>
      </c>
      <c r="C35" s="185">
        <v>1000.0</v>
      </c>
      <c r="D35" s="186" t="s">
        <v>34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B36" s="185" t="s">
        <v>844</v>
      </c>
      <c r="C36" s="185">
        <v>85.0</v>
      </c>
      <c r="D36" s="186" t="s">
        <v>40</v>
      </c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228">
        <v>45692.0</v>
      </c>
      <c r="B37" s="185" t="s">
        <v>770</v>
      </c>
      <c r="C37" s="185">
        <v>3224.0</v>
      </c>
      <c r="D37" s="186" t="s">
        <v>770</v>
      </c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B38" s="185" t="s">
        <v>270</v>
      </c>
      <c r="C38" s="185">
        <v>800.0</v>
      </c>
      <c r="D38" s="186" t="s">
        <v>40</v>
      </c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B39" s="185" t="s">
        <v>117</v>
      </c>
      <c r="C39" s="185">
        <v>50.0</v>
      </c>
      <c r="D39" s="186" t="s">
        <v>40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B40" s="185" t="s">
        <v>845</v>
      </c>
      <c r="C40" s="185">
        <v>134.0</v>
      </c>
      <c r="D40" s="186" t="s">
        <v>40</v>
      </c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B41" s="185" t="s">
        <v>148</v>
      </c>
      <c r="C41" s="185">
        <v>28.0</v>
      </c>
      <c r="D41" s="186" t="s">
        <v>40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B42" s="185" t="s">
        <v>846</v>
      </c>
      <c r="C42" s="185">
        <v>312.0</v>
      </c>
      <c r="D42" s="186" t="s">
        <v>40</v>
      </c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B43" s="185" t="s">
        <v>847</v>
      </c>
      <c r="C43" s="185">
        <v>102.0</v>
      </c>
      <c r="D43" s="186" t="s">
        <v>40</v>
      </c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228">
        <v>45693.0</v>
      </c>
      <c r="B44" s="185" t="s">
        <v>89</v>
      </c>
      <c r="C44" s="185">
        <v>20.0</v>
      </c>
      <c r="D44" s="186" t="s">
        <v>40</v>
      </c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B45" s="185" t="s">
        <v>837</v>
      </c>
      <c r="C45" s="185">
        <v>14.0</v>
      </c>
      <c r="D45" s="186" t="s">
        <v>40</v>
      </c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B46" s="185" t="s">
        <v>93</v>
      </c>
      <c r="C46" s="185">
        <v>58.0</v>
      </c>
      <c r="D46" s="186" t="s">
        <v>40</v>
      </c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B47" s="185" t="s">
        <v>148</v>
      </c>
      <c r="C47" s="185">
        <v>73.0</v>
      </c>
      <c r="D47" s="186" t="s">
        <v>40</v>
      </c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B48" s="185" t="s">
        <v>624</v>
      </c>
      <c r="C48" s="185">
        <v>110.0</v>
      </c>
      <c r="D48" s="186" t="s">
        <v>40</v>
      </c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228">
        <v>45694.0</v>
      </c>
      <c r="B49" s="185" t="s">
        <v>89</v>
      </c>
      <c r="C49" s="185">
        <v>20.0</v>
      </c>
      <c r="D49" s="186" t="s">
        <v>40</v>
      </c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B50" s="185" t="s">
        <v>120</v>
      </c>
      <c r="C50" s="185">
        <v>16.0</v>
      </c>
      <c r="D50" s="186" t="s">
        <v>40</v>
      </c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B51" s="185" t="s">
        <v>93</v>
      </c>
      <c r="C51" s="185">
        <v>35.0</v>
      </c>
      <c r="D51" s="186" t="s">
        <v>40</v>
      </c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B52" s="185" t="s">
        <v>845</v>
      </c>
      <c r="C52" s="185">
        <v>75.0</v>
      </c>
      <c r="D52" s="186" t="s">
        <v>40</v>
      </c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228">
        <v>45695.0</v>
      </c>
      <c r="B53" s="185" t="s">
        <v>207</v>
      </c>
      <c r="C53" s="185">
        <v>108.0</v>
      </c>
      <c r="D53" s="186" t="s">
        <v>40</v>
      </c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B54" s="185" t="s">
        <v>848</v>
      </c>
      <c r="C54" s="185">
        <v>54.0</v>
      </c>
      <c r="D54" s="186" t="s">
        <v>40</v>
      </c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B55" s="185" t="s">
        <v>148</v>
      </c>
      <c r="C55" s="185">
        <v>14.0</v>
      </c>
      <c r="D55" s="186" t="s">
        <v>40</v>
      </c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228">
        <v>45696.0</v>
      </c>
      <c r="B56" s="185" t="s">
        <v>105</v>
      </c>
      <c r="C56" s="185">
        <v>30.0</v>
      </c>
      <c r="D56" s="186" t="s">
        <v>40</v>
      </c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B57" s="185" t="s">
        <v>318</v>
      </c>
      <c r="C57" s="185">
        <v>25.0</v>
      </c>
      <c r="D57" s="186" t="s">
        <v>40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B58" s="185" t="s">
        <v>148</v>
      </c>
      <c r="C58" s="185">
        <v>14.0</v>
      </c>
      <c r="D58" s="186" t="s">
        <v>40</v>
      </c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B59" s="185" t="s">
        <v>91</v>
      </c>
      <c r="C59" s="185">
        <v>67.0</v>
      </c>
      <c r="D59" s="186" t="s">
        <v>40</v>
      </c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B60" s="185" t="s">
        <v>148</v>
      </c>
      <c r="C60" s="185">
        <v>28.0</v>
      </c>
      <c r="D60" s="186" t="s">
        <v>40</v>
      </c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228">
        <v>45697.0</v>
      </c>
      <c r="B61" s="185" t="s">
        <v>845</v>
      </c>
      <c r="C61" s="185">
        <v>120.0</v>
      </c>
      <c r="D61" s="186" t="s">
        <v>40</v>
      </c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B62" s="185" t="s">
        <v>117</v>
      </c>
      <c r="C62" s="185">
        <v>51.0</v>
      </c>
      <c r="D62" s="186" t="s">
        <v>40</v>
      </c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B63" s="185" t="s">
        <v>37</v>
      </c>
      <c r="C63" s="185">
        <v>50.0</v>
      </c>
      <c r="D63" s="186" t="s">
        <v>40</v>
      </c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B64" s="185" t="s">
        <v>849</v>
      </c>
      <c r="C64" s="185">
        <v>1700.0</v>
      </c>
      <c r="D64" s="186" t="s">
        <v>101</v>
      </c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B65" s="185" t="s">
        <v>594</v>
      </c>
      <c r="C65" s="185">
        <v>-1000.0</v>
      </c>
      <c r="D65" s="186" t="s">
        <v>34</v>
      </c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228">
        <v>45698.0</v>
      </c>
      <c r="B66" s="185" t="s">
        <v>89</v>
      </c>
      <c r="C66" s="185">
        <v>48.0</v>
      </c>
      <c r="D66" s="186" t="s">
        <v>40</v>
      </c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B67" s="185" t="s">
        <v>152</v>
      </c>
      <c r="C67" s="185">
        <v>14.0</v>
      </c>
      <c r="D67" s="186" t="s">
        <v>40</v>
      </c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B68" s="185" t="s">
        <v>93</v>
      </c>
      <c r="C68" s="185">
        <v>30.0</v>
      </c>
      <c r="D68" s="186" t="s">
        <v>40</v>
      </c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B69" s="185" t="s">
        <v>117</v>
      </c>
      <c r="C69" s="185">
        <v>25.0</v>
      </c>
      <c r="D69" s="186" t="s">
        <v>40</v>
      </c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B70" s="185" t="s">
        <v>61</v>
      </c>
      <c r="C70" s="185">
        <v>26.0</v>
      </c>
      <c r="D70" s="186" t="s">
        <v>40</v>
      </c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B71" s="185" t="s">
        <v>793</v>
      </c>
      <c r="C71" s="185">
        <v>93.0</v>
      </c>
      <c r="D71" s="186" t="s">
        <v>40</v>
      </c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228">
        <v>45699.0</v>
      </c>
      <c r="B72" s="185" t="s">
        <v>61</v>
      </c>
      <c r="C72" s="185">
        <v>18.0</v>
      </c>
      <c r="D72" s="186" t="s">
        <v>40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B73" s="185" t="s">
        <v>11</v>
      </c>
      <c r="C73" s="185">
        <v>51.0</v>
      </c>
      <c r="D73" s="186" t="s">
        <v>40</v>
      </c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B74" s="185" t="s">
        <v>152</v>
      </c>
      <c r="C74" s="185">
        <v>14.0</v>
      </c>
      <c r="D74" s="186" t="s">
        <v>40</v>
      </c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B75" s="185" t="s">
        <v>93</v>
      </c>
      <c r="C75" s="185">
        <v>30.0</v>
      </c>
      <c r="D75" s="186" t="s">
        <v>40</v>
      </c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B76" s="185" t="s">
        <v>148</v>
      </c>
      <c r="C76" s="185">
        <v>28.0</v>
      </c>
      <c r="D76" s="186" t="s">
        <v>40</v>
      </c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228">
        <v>45700.0</v>
      </c>
      <c r="B77" s="185" t="s">
        <v>850</v>
      </c>
      <c r="C77" s="185">
        <v>46.0</v>
      </c>
      <c r="D77" s="186" t="s">
        <v>40</v>
      </c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B78" s="185" t="s">
        <v>585</v>
      </c>
      <c r="C78" s="185">
        <v>-65.0</v>
      </c>
      <c r="D78" s="186" t="s">
        <v>40</v>
      </c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B79" s="185" t="s">
        <v>136</v>
      </c>
      <c r="C79" s="185">
        <v>20.0</v>
      </c>
      <c r="D79" s="186" t="s">
        <v>40</v>
      </c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B80" s="185" t="s">
        <v>50</v>
      </c>
      <c r="C80" s="185">
        <v>27.0</v>
      </c>
      <c r="D80" s="186" t="s">
        <v>40</v>
      </c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B81" s="185" t="s">
        <v>152</v>
      </c>
      <c r="C81" s="185">
        <v>24.0</v>
      </c>
      <c r="D81" s="186" t="s">
        <v>40</v>
      </c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B82" s="185" t="s">
        <v>742</v>
      </c>
      <c r="C82" s="185">
        <v>51.0</v>
      </c>
      <c r="D82" s="186" t="s">
        <v>40</v>
      </c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B83" s="185" t="s">
        <v>91</v>
      </c>
      <c r="C83" s="185">
        <v>48.0</v>
      </c>
      <c r="D83" s="186" t="s">
        <v>40</v>
      </c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B84" s="185" t="s">
        <v>117</v>
      </c>
      <c r="C84" s="185">
        <v>55.0</v>
      </c>
      <c r="D84" s="186" t="s">
        <v>40</v>
      </c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228">
        <v>45701.0</v>
      </c>
      <c r="B85" s="185" t="s">
        <v>89</v>
      </c>
      <c r="C85" s="185">
        <v>27.0</v>
      </c>
      <c r="D85" s="186" t="s">
        <v>40</v>
      </c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B86" s="185" t="s">
        <v>50</v>
      </c>
      <c r="C86" s="185">
        <v>22.0</v>
      </c>
      <c r="D86" s="186" t="s">
        <v>40</v>
      </c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B87" s="185" t="s">
        <v>152</v>
      </c>
      <c r="C87" s="185">
        <v>9.0</v>
      </c>
      <c r="D87" s="186" t="s">
        <v>40</v>
      </c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B88" s="185" t="s">
        <v>845</v>
      </c>
      <c r="C88" s="185">
        <v>143.0</v>
      </c>
      <c r="D88" s="186" t="s">
        <v>40</v>
      </c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228">
        <v>45702.0</v>
      </c>
      <c r="B89" s="185" t="s">
        <v>89</v>
      </c>
      <c r="C89" s="185">
        <v>20.0</v>
      </c>
      <c r="D89" s="186" t="s">
        <v>40</v>
      </c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B90" s="185" t="s">
        <v>152</v>
      </c>
      <c r="C90" s="185">
        <v>17.0</v>
      </c>
      <c r="D90" s="186" t="s">
        <v>40</v>
      </c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B91" s="185" t="s">
        <v>50</v>
      </c>
      <c r="C91" s="185">
        <v>32.0</v>
      </c>
      <c r="D91" s="186" t="s">
        <v>40</v>
      </c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B92" s="185" t="s">
        <v>172</v>
      </c>
      <c r="C92" s="185">
        <v>50.0</v>
      </c>
      <c r="D92" s="186" t="s">
        <v>40</v>
      </c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B93" s="185" t="s">
        <v>12</v>
      </c>
      <c r="C93" s="185">
        <v>3000.0</v>
      </c>
      <c r="D93" s="186" t="s">
        <v>12</v>
      </c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B94" s="185" t="s">
        <v>851</v>
      </c>
      <c r="C94" s="185">
        <v>339.0</v>
      </c>
      <c r="D94" s="186" t="s">
        <v>40</v>
      </c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228">
        <v>45703.0</v>
      </c>
      <c r="B95" s="185" t="s">
        <v>89</v>
      </c>
      <c r="C95" s="185">
        <v>20.0</v>
      </c>
      <c r="D95" s="186" t="s">
        <v>40</v>
      </c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B96" s="185" t="s">
        <v>852</v>
      </c>
      <c r="C96" s="185">
        <v>340.0</v>
      </c>
      <c r="D96" s="186" t="s">
        <v>40</v>
      </c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B97" s="185" t="s">
        <v>318</v>
      </c>
      <c r="C97" s="185">
        <v>25.0</v>
      </c>
      <c r="D97" s="186" t="s">
        <v>40</v>
      </c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B98" s="185" t="s">
        <v>50</v>
      </c>
      <c r="C98" s="185">
        <v>30.0</v>
      </c>
      <c r="D98" s="186" t="s">
        <v>40</v>
      </c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B99" s="185" t="s">
        <v>80</v>
      </c>
      <c r="C99" s="185">
        <v>115.0</v>
      </c>
      <c r="D99" s="186" t="s">
        <v>40</v>
      </c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B100" s="185" t="s">
        <v>108</v>
      </c>
      <c r="C100" s="185">
        <v>200.0</v>
      </c>
      <c r="D100" s="186" t="s">
        <v>34</v>
      </c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228">
        <v>45704.0</v>
      </c>
      <c r="B101" s="185" t="s">
        <v>853</v>
      </c>
      <c r="C101" s="185">
        <v>151.0</v>
      </c>
      <c r="D101" s="186" t="s">
        <v>40</v>
      </c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B102" s="185" t="s">
        <v>309</v>
      </c>
      <c r="C102" s="185">
        <v>133.0</v>
      </c>
      <c r="D102" s="186" t="s">
        <v>40</v>
      </c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B103" s="185" t="s">
        <v>50</v>
      </c>
      <c r="C103" s="185">
        <v>30.0</v>
      </c>
      <c r="D103" s="186" t="s">
        <v>40</v>
      </c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B104" s="185" t="s">
        <v>148</v>
      </c>
      <c r="C104" s="185">
        <v>28.0</v>
      </c>
      <c r="D104" s="186" t="s">
        <v>40</v>
      </c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B105" s="185" t="s">
        <v>801</v>
      </c>
      <c r="C105" s="185">
        <v>90.0</v>
      </c>
      <c r="D105" s="186" t="s">
        <v>40</v>
      </c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228">
        <v>45705.0</v>
      </c>
      <c r="B106" s="185" t="s">
        <v>156</v>
      </c>
      <c r="C106" s="185">
        <v>26.0</v>
      </c>
      <c r="D106" s="186" t="s">
        <v>40</v>
      </c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B107" s="185" t="s">
        <v>89</v>
      </c>
      <c r="C107" s="185">
        <v>20.0</v>
      </c>
      <c r="D107" s="186" t="s">
        <v>40</v>
      </c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B108" s="185" t="s">
        <v>50</v>
      </c>
      <c r="C108" s="185">
        <v>35.0</v>
      </c>
      <c r="D108" s="186" t="s">
        <v>40</v>
      </c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B109" s="185" t="s">
        <v>152</v>
      </c>
      <c r="C109" s="185">
        <v>14.0</v>
      </c>
      <c r="D109" s="186" t="s">
        <v>40</v>
      </c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B110" s="185" t="s">
        <v>93</v>
      </c>
      <c r="C110" s="185">
        <v>134.0</v>
      </c>
      <c r="D110" s="186" t="s">
        <v>40</v>
      </c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228">
        <v>45706.0</v>
      </c>
      <c r="B111" s="185" t="s">
        <v>89</v>
      </c>
      <c r="C111" s="185">
        <v>40.0</v>
      </c>
      <c r="D111" s="186" t="s">
        <v>40</v>
      </c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B112" s="185" t="s">
        <v>50</v>
      </c>
      <c r="C112" s="185">
        <v>27.0</v>
      </c>
      <c r="D112" s="186" t="s">
        <v>40</v>
      </c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B113" s="185" t="s">
        <v>152</v>
      </c>
      <c r="C113" s="185">
        <v>14.0</v>
      </c>
      <c r="D113" s="186" t="s">
        <v>40</v>
      </c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B114" s="185" t="s">
        <v>854</v>
      </c>
      <c r="C114" s="185">
        <v>45.0</v>
      </c>
      <c r="D114" s="186" t="s">
        <v>40</v>
      </c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B115" s="185" t="s">
        <v>93</v>
      </c>
      <c r="C115" s="185">
        <v>57.0</v>
      </c>
      <c r="D115" s="186" t="s">
        <v>40</v>
      </c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228">
        <v>45707.0</v>
      </c>
      <c r="B116" s="185" t="s">
        <v>156</v>
      </c>
      <c r="C116" s="185">
        <v>26.0</v>
      </c>
      <c r="D116" s="186" t="s">
        <v>40</v>
      </c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B117" s="185" t="s">
        <v>50</v>
      </c>
      <c r="C117" s="185">
        <v>27.0</v>
      </c>
      <c r="D117" s="186" t="s">
        <v>40</v>
      </c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B118" s="185" t="s">
        <v>152</v>
      </c>
      <c r="C118" s="185">
        <v>14.0</v>
      </c>
      <c r="D118" s="186" t="s">
        <v>40</v>
      </c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B119" s="185" t="s">
        <v>181</v>
      </c>
      <c r="C119" s="185">
        <v>126.0</v>
      </c>
      <c r="D119" s="186" t="s">
        <v>40</v>
      </c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228">
        <v>45708.0</v>
      </c>
      <c r="B120" s="185" t="s">
        <v>855</v>
      </c>
      <c r="C120" s="185">
        <v>35.0</v>
      </c>
      <c r="D120" s="186" t="s">
        <v>40</v>
      </c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B121" s="185" t="s">
        <v>145</v>
      </c>
      <c r="C121" s="185">
        <v>35.0</v>
      </c>
      <c r="D121" s="186" t="s">
        <v>40</v>
      </c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B122" s="185" t="s">
        <v>152</v>
      </c>
      <c r="C122" s="185">
        <v>14.0</v>
      </c>
      <c r="D122" s="186" t="s">
        <v>40</v>
      </c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B123" s="185" t="s">
        <v>93</v>
      </c>
      <c r="C123" s="185">
        <v>115.0</v>
      </c>
      <c r="D123" s="186" t="s">
        <v>40</v>
      </c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228">
        <v>45709.0</v>
      </c>
      <c r="B124" s="185" t="s">
        <v>50</v>
      </c>
      <c r="C124" s="185">
        <v>45.0</v>
      </c>
      <c r="D124" s="186" t="s">
        <v>40</v>
      </c>
      <c r="E124" s="185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B125" s="185" t="s">
        <v>856</v>
      </c>
      <c r="C125" s="185">
        <v>150.0</v>
      </c>
      <c r="D125" s="186" t="s">
        <v>40</v>
      </c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B126" s="185" t="s">
        <v>148</v>
      </c>
      <c r="C126" s="185">
        <v>28.0</v>
      </c>
      <c r="D126" s="186" t="s">
        <v>40</v>
      </c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228">
        <v>45710.0</v>
      </c>
      <c r="B127" s="185" t="s">
        <v>50</v>
      </c>
      <c r="C127" s="185">
        <v>35.0</v>
      </c>
      <c r="D127" s="186" t="s">
        <v>40</v>
      </c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B128" s="185" t="s">
        <v>91</v>
      </c>
      <c r="C128" s="185">
        <v>64.0</v>
      </c>
      <c r="D128" s="186" t="s">
        <v>40</v>
      </c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B129" s="185" t="s">
        <v>857</v>
      </c>
      <c r="C129" s="185">
        <v>25.0</v>
      </c>
      <c r="D129" s="186" t="s">
        <v>40</v>
      </c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228">
        <v>45711.0</v>
      </c>
      <c r="B130" s="185" t="s">
        <v>50</v>
      </c>
      <c r="C130" s="185">
        <v>35.0</v>
      </c>
      <c r="D130" s="186" t="s">
        <v>40</v>
      </c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B131" s="185" t="s">
        <v>858</v>
      </c>
      <c r="C131" s="185">
        <v>30.0</v>
      </c>
      <c r="D131" s="186" t="s">
        <v>40</v>
      </c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B132" s="185" t="s">
        <v>167</v>
      </c>
      <c r="C132" s="185">
        <v>10.0</v>
      </c>
      <c r="D132" s="186" t="s">
        <v>40</v>
      </c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B133" s="185" t="s">
        <v>859</v>
      </c>
      <c r="C133" s="185">
        <v>50.0</v>
      </c>
      <c r="D133" s="186" t="s">
        <v>40</v>
      </c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B134" s="185" t="s">
        <v>13</v>
      </c>
      <c r="C134" s="185">
        <v>50.0</v>
      </c>
      <c r="D134" s="186" t="s">
        <v>40</v>
      </c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228">
        <v>45712.0</v>
      </c>
      <c r="B135" s="185" t="s">
        <v>112</v>
      </c>
      <c r="C135" s="185">
        <v>77.0</v>
      </c>
      <c r="D135" s="186" t="s">
        <v>40</v>
      </c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B136" s="185" t="s">
        <v>89</v>
      </c>
      <c r="C136" s="185">
        <v>35.0</v>
      </c>
      <c r="D136" s="186" t="s">
        <v>40</v>
      </c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B137" s="185" t="s">
        <v>152</v>
      </c>
      <c r="C137" s="185">
        <v>14.0</v>
      </c>
      <c r="D137" s="186" t="s">
        <v>40</v>
      </c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B138" s="185" t="s">
        <v>860</v>
      </c>
      <c r="C138" s="185">
        <v>104.0</v>
      </c>
      <c r="D138" s="186" t="s">
        <v>40</v>
      </c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B139" s="185" t="s">
        <v>152</v>
      </c>
      <c r="C139" s="185">
        <v>14.0</v>
      </c>
      <c r="D139" s="186" t="s">
        <v>40</v>
      </c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228">
        <v>45713.0</v>
      </c>
      <c r="B140" s="185" t="s">
        <v>152</v>
      </c>
      <c r="C140" s="185">
        <v>14.0</v>
      </c>
      <c r="D140" s="186" t="s">
        <v>40</v>
      </c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B141" s="185" t="s">
        <v>860</v>
      </c>
      <c r="C141" s="185">
        <v>94.0</v>
      </c>
      <c r="D141" s="186" t="s">
        <v>40</v>
      </c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B142" s="185" t="s">
        <v>861</v>
      </c>
      <c r="C142" s="185">
        <v>21.0</v>
      </c>
      <c r="D142" s="186" t="s">
        <v>40</v>
      </c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228">
        <v>45714.0</v>
      </c>
      <c r="B143" s="185" t="s">
        <v>156</v>
      </c>
      <c r="C143" s="185">
        <v>26.0</v>
      </c>
      <c r="D143" s="186" t="s">
        <v>40</v>
      </c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B144" s="185" t="s">
        <v>152</v>
      </c>
      <c r="C144" s="185">
        <v>14.0</v>
      </c>
      <c r="D144" s="186" t="s">
        <v>40</v>
      </c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B145" s="185" t="s">
        <v>93</v>
      </c>
      <c r="C145" s="185">
        <v>72.0</v>
      </c>
      <c r="D145" s="186" t="s">
        <v>40</v>
      </c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B146" s="185" t="s">
        <v>148</v>
      </c>
      <c r="C146" s="185">
        <v>43.0</v>
      </c>
      <c r="D146" s="186" t="s">
        <v>40</v>
      </c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1"/>
      <c r="B147" s="181"/>
      <c r="C147" s="181"/>
      <c r="D147" s="186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81"/>
      <c r="B148" s="181"/>
      <c r="C148" s="181"/>
      <c r="D148" s="186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181"/>
      <c r="B149" s="181"/>
      <c r="C149" s="181"/>
      <c r="D149" s="186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181"/>
      <c r="B150" s="181"/>
      <c r="C150" s="181"/>
      <c r="D150" s="22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181"/>
      <c r="B151" s="181"/>
      <c r="C151" s="181"/>
      <c r="D151" s="22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1"/>
      <c r="B152" s="181"/>
      <c r="C152" s="181"/>
      <c r="D152" s="22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181"/>
      <c r="B153" s="181"/>
      <c r="C153" s="181"/>
      <c r="D153" s="22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181"/>
      <c r="B154" s="181"/>
      <c r="C154" s="181"/>
      <c r="D154" s="22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181"/>
      <c r="B155" s="181"/>
      <c r="C155" s="181"/>
      <c r="D155" s="22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181"/>
      <c r="B156" s="181"/>
      <c r="C156" s="181"/>
      <c r="D156" s="22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181"/>
      <c r="B157" s="181"/>
      <c r="C157" s="181"/>
      <c r="D157" s="22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181"/>
      <c r="B158" s="181"/>
      <c r="C158" s="181"/>
      <c r="D158" s="22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1"/>
      <c r="B159" s="181"/>
      <c r="C159" s="181"/>
      <c r="D159" s="22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1"/>
      <c r="B160" s="181"/>
      <c r="C160" s="181"/>
      <c r="D160" s="22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1"/>
      <c r="B161" s="181"/>
      <c r="C161" s="181"/>
      <c r="D161" s="22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1"/>
      <c r="B162" s="181"/>
      <c r="C162" s="181"/>
      <c r="D162" s="22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1"/>
      <c r="B163" s="181"/>
      <c r="C163" s="181"/>
      <c r="D163" s="22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1"/>
      <c r="B164" s="181"/>
      <c r="C164" s="181"/>
      <c r="D164" s="22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1"/>
      <c r="B165" s="181"/>
      <c r="C165" s="181"/>
      <c r="D165" s="22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22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22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22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22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22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22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22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22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22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22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22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22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22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22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22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22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22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22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22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22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22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22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22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22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22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22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22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22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22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22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22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22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22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22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22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22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22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22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22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22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22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22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22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22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22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22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22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22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22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22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22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22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22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22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22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22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22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22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22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22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22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22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22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22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22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22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22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22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22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22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22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22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22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22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22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22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22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22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22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22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22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22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22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22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22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22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22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22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22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22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22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22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22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22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22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22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22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22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22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22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22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22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22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22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22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22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22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22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22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22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22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22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22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22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22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22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22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22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22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22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22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22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22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22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22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22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22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22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22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22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22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22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22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22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22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22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22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22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22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22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22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22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22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22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22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22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22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22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22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22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22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22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22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22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22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22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22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22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22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22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22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22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22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22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22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22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22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22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22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22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22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22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22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22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22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22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22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22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22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22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22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22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22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22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22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22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22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22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22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22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22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22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22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22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22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22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22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22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22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22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22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22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22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22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22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22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22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22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22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22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22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22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22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22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22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22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22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22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22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22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22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22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22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22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22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22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22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22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22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22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22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22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22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22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22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22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22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22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22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22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22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22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22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22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22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22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22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22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22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22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22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22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22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22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22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22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22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22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22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22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22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22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22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22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22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22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22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22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22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22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22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22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22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22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22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22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22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22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22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22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22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22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22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22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22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22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22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22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22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22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22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22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22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22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22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22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22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22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22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22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22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22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22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22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22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22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22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22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22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22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22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22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22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22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22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22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22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22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22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22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22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22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22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22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22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22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22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22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22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22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22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22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22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22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22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22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22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22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22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22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22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22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22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22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22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22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22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22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22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22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22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22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22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22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22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22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22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22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22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22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22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22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22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22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22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22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22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22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22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22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22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22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22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22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22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22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22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22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22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22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22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22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22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22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22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22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22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22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22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22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22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22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22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22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22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22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22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22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22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22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22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22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22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22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22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22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22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22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22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22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22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22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22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22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22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22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22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22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22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22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22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22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22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22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22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22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22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22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22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22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22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22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22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22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22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22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22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22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22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22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22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22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22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22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22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22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22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22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22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22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22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22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22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22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22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22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22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22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22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22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22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22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22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22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22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22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22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22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22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22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22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22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22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22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22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22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22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22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22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22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22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22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22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22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22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22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22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22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22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22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22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22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22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22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22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22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22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22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22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22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22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22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22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22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22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22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22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22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22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22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22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22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22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22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22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22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22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22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22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22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22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22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22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22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22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22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22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22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22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22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22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22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22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22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22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22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22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22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22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22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22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22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22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22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22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22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22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22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22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22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22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22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22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22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22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22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22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22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22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22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22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22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22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22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22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22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22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22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22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22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22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22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22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22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22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22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22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22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22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22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22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22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22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22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22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22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22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22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22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22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22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22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22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22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22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22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22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22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22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22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22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22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22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22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22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22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22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22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22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22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22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22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22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22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22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22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22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22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22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22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22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22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22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22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22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22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22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22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22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22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22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22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22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22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22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22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22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22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22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22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22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22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22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22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22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22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22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22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22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22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22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22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22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22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22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22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22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22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22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22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22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22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22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22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22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22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22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22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22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22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22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22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22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22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22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22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22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22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22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22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22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22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22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22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22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22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22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22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22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22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22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22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22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22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22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22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22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22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22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22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22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22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22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22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22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22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22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22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22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22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22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22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22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22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22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22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22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22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22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22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22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22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22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22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22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22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22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22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22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22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22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22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22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22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22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22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22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22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22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22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22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22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22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22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22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22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22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22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22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22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22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22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22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22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22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22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22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22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22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22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22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22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22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22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22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22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22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22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22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22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181"/>
      <c r="D936" s="22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181"/>
      <c r="B937" s="181"/>
      <c r="C937" s="181"/>
      <c r="D937" s="22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181"/>
      <c r="B938" s="181"/>
      <c r="C938" s="181"/>
      <c r="D938" s="22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181"/>
      <c r="B939" s="181"/>
      <c r="C939" s="181"/>
      <c r="D939" s="22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181"/>
      <c r="B940" s="181"/>
      <c r="C940" s="181"/>
      <c r="D940" s="22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181"/>
      <c r="B941" s="181"/>
      <c r="C941" s="181"/>
      <c r="D941" s="22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181"/>
      <c r="B942" s="181"/>
      <c r="C942" s="181"/>
      <c r="D942" s="22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181"/>
      <c r="B943" s="181"/>
      <c r="C943" s="181"/>
      <c r="D943" s="22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181"/>
      <c r="B944" s="181"/>
      <c r="C944" s="181"/>
      <c r="D944" s="22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181"/>
      <c r="B945" s="181"/>
      <c r="C945" s="181"/>
      <c r="D945" s="22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181"/>
      <c r="B946" s="181"/>
      <c r="C946" s="181"/>
      <c r="D946" s="22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181"/>
      <c r="B947" s="181"/>
      <c r="C947" s="181"/>
      <c r="D947" s="22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181"/>
      <c r="B948" s="181"/>
      <c r="C948" s="181"/>
      <c r="D948" s="22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181"/>
      <c r="B949" s="181"/>
      <c r="C949" s="181"/>
      <c r="D949" s="22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181"/>
      <c r="B950" s="181"/>
      <c r="C950" s="181"/>
      <c r="D950" s="22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181"/>
      <c r="B951" s="181"/>
      <c r="C951" s="181"/>
      <c r="D951" s="22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181"/>
      <c r="B952" s="181"/>
      <c r="C952" s="181"/>
      <c r="D952" s="22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181"/>
      <c r="B953" s="181"/>
      <c r="C953" s="181"/>
      <c r="D953" s="22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181"/>
      <c r="B954" s="181"/>
      <c r="C954" s="181"/>
      <c r="D954" s="22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181"/>
      <c r="B955" s="181"/>
      <c r="C955" s="181"/>
      <c r="D955" s="22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181"/>
      <c r="B956" s="181"/>
      <c r="C956" s="181"/>
      <c r="D956" s="22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181"/>
      <c r="B957" s="181"/>
      <c r="C957" s="181"/>
      <c r="D957" s="22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181"/>
      <c r="B958" s="181"/>
      <c r="C958" s="181"/>
      <c r="D958" s="22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181"/>
      <c r="B959" s="181"/>
      <c r="C959" s="181"/>
      <c r="D959" s="22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181"/>
      <c r="B960" s="181"/>
      <c r="C960" s="181"/>
      <c r="D960" s="22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181"/>
      <c r="B961" s="181"/>
      <c r="C961" s="181"/>
      <c r="D961" s="22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181"/>
      <c r="B962" s="181"/>
      <c r="C962" s="181"/>
      <c r="D962" s="22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181"/>
      <c r="B963" s="181"/>
      <c r="C963" s="181"/>
      <c r="D963" s="22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181"/>
      <c r="B964" s="181"/>
      <c r="C964" s="181"/>
      <c r="D964" s="22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181"/>
      <c r="B965" s="181"/>
      <c r="C965" s="181"/>
      <c r="D965" s="22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181"/>
      <c r="B966" s="181"/>
      <c r="C966" s="181"/>
      <c r="D966" s="22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181"/>
      <c r="B967" s="181"/>
      <c r="C967" s="181"/>
      <c r="D967" s="22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181"/>
      <c r="B968" s="181"/>
      <c r="C968" s="181"/>
      <c r="D968" s="22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181"/>
      <c r="B969" s="181"/>
      <c r="C969" s="181"/>
      <c r="D969" s="22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181"/>
      <c r="B970" s="181"/>
      <c r="C970" s="181"/>
      <c r="D970" s="22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>
      <c r="A971" s="181"/>
      <c r="B971" s="181"/>
      <c r="C971" s="181"/>
      <c r="D971" s="22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>
      <c r="A972" s="181"/>
      <c r="B972" s="181"/>
      <c r="C972" s="181"/>
      <c r="D972" s="22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>
      <c r="A973" s="181"/>
      <c r="B973" s="181"/>
      <c r="C973" s="181"/>
      <c r="D973" s="22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>
      <c r="A974" s="181"/>
      <c r="B974" s="181"/>
      <c r="C974" s="181"/>
      <c r="D974" s="22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>
      <c r="A975" s="181"/>
      <c r="B975" s="181"/>
      <c r="C975" s="181"/>
      <c r="D975" s="22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>
      <c r="A976" s="181"/>
      <c r="B976" s="181"/>
      <c r="C976" s="181"/>
      <c r="D976" s="22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>
      <c r="A977" s="181"/>
      <c r="B977" s="181"/>
      <c r="C977" s="181"/>
      <c r="D977" s="22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>
      <c r="A978" s="181"/>
      <c r="B978" s="181"/>
      <c r="C978" s="181"/>
      <c r="D978" s="22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>
      <c r="A979" s="181"/>
      <c r="B979" s="181"/>
      <c r="C979" s="181"/>
      <c r="D979" s="22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>
      <c r="A980" s="181"/>
      <c r="B980" s="181"/>
      <c r="C980" s="181"/>
      <c r="D980" s="22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>
      <c r="A981" s="181"/>
      <c r="B981" s="181"/>
      <c r="C981" s="181"/>
      <c r="D981" s="22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>
      <c r="A982" s="181"/>
      <c r="B982" s="181"/>
      <c r="C982" s="181"/>
      <c r="D982" s="22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>
      <c r="A983" s="181"/>
      <c r="B983" s="181"/>
      <c r="C983" s="181"/>
      <c r="D983" s="22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>
      <c r="A984" s="181"/>
      <c r="B984" s="181"/>
      <c r="C984" s="181"/>
      <c r="D984" s="22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>
      <c r="A985" s="181"/>
      <c r="B985" s="181"/>
      <c r="C985" s="181"/>
      <c r="D985" s="22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>
      <c r="A986" s="181"/>
      <c r="B986" s="181"/>
      <c r="C986" s="181"/>
      <c r="D986" s="22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>
      <c r="A987" s="181"/>
      <c r="B987" s="181"/>
      <c r="C987" s="181"/>
      <c r="D987" s="22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>
      <c r="A988" s="181"/>
      <c r="B988" s="181"/>
      <c r="C988" s="181"/>
      <c r="D988" s="22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>
      <c r="A989" s="181"/>
      <c r="B989" s="181"/>
      <c r="C989" s="181"/>
      <c r="D989" s="22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>
      <c r="A990" s="181"/>
      <c r="B990" s="181"/>
      <c r="C990" s="181"/>
      <c r="D990" s="22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>
      <c r="A991" s="181"/>
      <c r="B991" s="181"/>
      <c r="C991" s="181"/>
      <c r="D991" s="22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>
      <c r="A992" s="181"/>
      <c r="B992" s="181"/>
      <c r="C992" s="181"/>
      <c r="D992" s="22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>
      <c r="A993" s="181"/>
      <c r="B993" s="181"/>
      <c r="C993" s="181"/>
      <c r="D993" s="22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>
      <c r="A994" s="181"/>
      <c r="B994" s="181"/>
      <c r="C994" s="181"/>
      <c r="D994" s="22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>
      <c r="A995" s="181"/>
      <c r="B995" s="181"/>
      <c r="C995" s="181"/>
      <c r="D995" s="22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>
      <c r="A996" s="181"/>
      <c r="B996" s="181"/>
      <c r="C996" s="181"/>
      <c r="D996" s="22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>
      <c r="A997" s="181"/>
      <c r="B997" s="181"/>
      <c r="C997" s="181"/>
      <c r="D997" s="22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>
      <c r="A998" s="181"/>
      <c r="B998" s="181"/>
      <c r="C998" s="181"/>
      <c r="D998" s="22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>
      <c r="A999" s="181"/>
      <c r="B999" s="181"/>
      <c r="C999" s="181"/>
      <c r="D999" s="22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>
      <c r="A1000" s="181"/>
      <c r="B1000" s="181"/>
      <c r="C1000" s="181"/>
      <c r="D1000" s="22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  <row r="1001">
      <c r="A1001" s="181"/>
      <c r="B1001" s="181"/>
      <c r="C1001" s="181"/>
      <c r="D1001" s="221"/>
      <c r="E1001" s="181"/>
      <c r="F1001" s="181"/>
      <c r="G1001" s="181"/>
      <c r="H1001" s="181"/>
      <c r="I1001" s="181"/>
      <c r="J1001" s="181"/>
      <c r="K1001" s="181"/>
      <c r="L1001" s="181"/>
      <c r="M1001" s="181"/>
      <c r="N1001" s="181"/>
      <c r="O1001" s="181"/>
      <c r="P1001" s="181"/>
      <c r="Q1001" s="181"/>
      <c r="R1001" s="181"/>
      <c r="S1001" s="181"/>
      <c r="T1001" s="181"/>
      <c r="U1001" s="181"/>
      <c r="V1001" s="181"/>
      <c r="W1001" s="181"/>
      <c r="X1001" s="181"/>
      <c r="Y1001" s="181"/>
      <c r="Z1001" s="181"/>
    </row>
    <row r="1002">
      <c r="A1002" s="181"/>
      <c r="B1002" s="181"/>
      <c r="C1002" s="181"/>
      <c r="D1002" s="221"/>
      <c r="E1002" s="181"/>
      <c r="F1002" s="181"/>
      <c r="G1002" s="181"/>
      <c r="H1002" s="181"/>
      <c r="I1002" s="181"/>
      <c r="J1002" s="181"/>
      <c r="K1002" s="181"/>
      <c r="L1002" s="181"/>
      <c r="M1002" s="181"/>
      <c r="N1002" s="181"/>
      <c r="O1002" s="181"/>
      <c r="P1002" s="181"/>
      <c r="Q1002" s="181"/>
      <c r="R1002" s="181"/>
      <c r="S1002" s="181"/>
      <c r="T1002" s="181"/>
      <c r="U1002" s="181"/>
      <c r="V1002" s="181"/>
      <c r="W1002" s="181"/>
      <c r="X1002" s="181"/>
      <c r="Y1002" s="181"/>
      <c r="Z1002" s="181"/>
    </row>
    <row r="1003">
      <c r="A1003" s="181"/>
      <c r="B1003" s="181"/>
      <c r="C1003" s="181"/>
      <c r="D1003" s="221"/>
      <c r="E1003" s="181"/>
      <c r="F1003" s="181"/>
      <c r="G1003" s="181"/>
      <c r="H1003" s="181"/>
      <c r="I1003" s="181"/>
      <c r="J1003" s="181"/>
      <c r="K1003" s="181"/>
      <c r="L1003" s="181"/>
      <c r="M1003" s="181"/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  <c r="X1003" s="181"/>
      <c r="Y1003" s="181"/>
      <c r="Z1003" s="181"/>
    </row>
    <row r="1004">
      <c r="A1004" s="181"/>
      <c r="B1004" s="181"/>
      <c r="C1004" s="181"/>
      <c r="D1004" s="221"/>
      <c r="E1004" s="181"/>
      <c r="F1004" s="181"/>
      <c r="G1004" s="181"/>
      <c r="H1004" s="181"/>
      <c r="I1004" s="181"/>
      <c r="J1004" s="181"/>
      <c r="K1004" s="181"/>
      <c r="L1004" s="181"/>
      <c r="M1004" s="181"/>
      <c r="N1004" s="181"/>
      <c r="O1004" s="181"/>
      <c r="P1004" s="181"/>
      <c r="Q1004" s="181"/>
      <c r="R1004" s="181"/>
      <c r="S1004" s="181"/>
      <c r="T1004" s="181"/>
      <c r="U1004" s="181"/>
      <c r="V1004" s="181"/>
      <c r="W1004" s="181"/>
      <c r="X1004" s="181"/>
      <c r="Y1004" s="181"/>
      <c r="Z1004" s="181"/>
    </row>
    <row r="1005">
      <c r="A1005" s="181"/>
      <c r="B1005" s="181"/>
      <c r="C1005" s="181"/>
      <c r="D1005" s="221"/>
      <c r="E1005" s="181"/>
      <c r="F1005" s="181"/>
      <c r="G1005" s="181"/>
      <c r="H1005" s="181"/>
      <c r="I1005" s="181"/>
      <c r="J1005" s="181"/>
      <c r="K1005" s="181"/>
      <c r="L1005" s="181"/>
      <c r="M1005" s="181"/>
      <c r="N1005" s="181"/>
      <c r="O1005" s="181"/>
      <c r="P1005" s="181"/>
      <c r="Q1005" s="181"/>
      <c r="R1005" s="181"/>
      <c r="S1005" s="181"/>
      <c r="T1005" s="181"/>
      <c r="U1005" s="181"/>
      <c r="V1005" s="181"/>
      <c r="W1005" s="181"/>
      <c r="X1005" s="181"/>
      <c r="Y1005" s="181"/>
      <c r="Z1005" s="181"/>
    </row>
    <row r="1006">
      <c r="A1006" s="181"/>
      <c r="B1006" s="181"/>
      <c r="C1006" s="181"/>
      <c r="D1006" s="221"/>
      <c r="E1006" s="181"/>
      <c r="F1006" s="181"/>
      <c r="G1006" s="181"/>
      <c r="H1006" s="181"/>
      <c r="I1006" s="181"/>
      <c r="J1006" s="181"/>
      <c r="K1006" s="181"/>
      <c r="L1006" s="181"/>
      <c r="M1006" s="181"/>
      <c r="N1006" s="181"/>
      <c r="O1006" s="181"/>
      <c r="P1006" s="181"/>
      <c r="Q1006" s="181"/>
      <c r="R1006" s="181"/>
      <c r="S1006" s="181"/>
      <c r="T1006" s="181"/>
      <c r="U1006" s="181"/>
      <c r="V1006" s="181"/>
      <c r="W1006" s="181"/>
      <c r="X1006" s="181"/>
      <c r="Y1006" s="181"/>
      <c r="Z1006" s="181"/>
    </row>
    <row r="1007">
      <c r="A1007" s="181"/>
      <c r="B1007" s="181"/>
      <c r="C1007" s="181"/>
      <c r="D1007" s="221"/>
      <c r="E1007" s="181"/>
      <c r="F1007" s="181"/>
      <c r="G1007" s="181"/>
      <c r="H1007" s="181"/>
      <c r="I1007" s="181"/>
      <c r="J1007" s="181"/>
      <c r="K1007" s="181"/>
      <c r="L1007" s="181"/>
      <c r="M1007" s="181"/>
      <c r="N1007" s="181"/>
      <c r="O1007" s="181"/>
      <c r="P1007" s="181"/>
      <c r="Q1007" s="181"/>
      <c r="R1007" s="181"/>
      <c r="S1007" s="181"/>
      <c r="T1007" s="181"/>
      <c r="U1007" s="181"/>
      <c r="V1007" s="181"/>
      <c r="W1007" s="181"/>
      <c r="X1007" s="181"/>
      <c r="Y1007" s="181"/>
      <c r="Z1007" s="181"/>
    </row>
  </sheetData>
  <mergeCells count="33">
    <mergeCell ref="A2:A12"/>
    <mergeCell ref="F8:F9"/>
    <mergeCell ref="G13:H13"/>
    <mergeCell ref="G14:H14"/>
    <mergeCell ref="G15:H15"/>
    <mergeCell ref="G16:H16"/>
    <mergeCell ref="G18:H18"/>
    <mergeCell ref="F23:H23"/>
    <mergeCell ref="A13:A20"/>
    <mergeCell ref="A21:A36"/>
    <mergeCell ref="A37:A43"/>
    <mergeCell ref="A44:A48"/>
    <mergeCell ref="A49:A52"/>
    <mergeCell ref="A53:A55"/>
    <mergeCell ref="A56:A60"/>
    <mergeCell ref="A61:A65"/>
    <mergeCell ref="A66:A71"/>
    <mergeCell ref="A72:A76"/>
    <mergeCell ref="A77:A84"/>
    <mergeCell ref="A85:A88"/>
    <mergeCell ref="A89:A94"/>
    <mergeCell ref="A95:A100"/>
    <mergeCell ref="A130:A134"/>
    <mergeCell ref="A135:A139"/>
    <mergeCell ref="A140:A142"/>
    <mergeCell ref="A143:A146"/>
    <mergeCell ref="A101:A105"/>
    <mergeCell ref="A106:A110"/>
    <mergeCell ref="A111:A115"/>
    <mergeCell ref="A116:A119"/>
    <mergeCell ref="A120:A123"/>
    <mergeCell ref="A124:A126"/>
    <mergeCell ref="A127:A129"/>
  </mergeCells>
  <conditionalFormatting sqref="B2:D306">
    <cfRule type="expression" dxfId="3" priority="1">
      <formula>AND($C2&gt;500, $D2="Living expense")</formula>
    </cfRule>
  </conditionalFormatting>
  <conditionalFormatting sqref="B2:D306">
    <cfRule type="expression" dxfId="2" priority="2">
      <formula>AND($C2&gt;=200, $C2&lt;500, $D2="Living expense")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1.0"/>
    <col customWidth="1" min="3" max="3" width="13.5"/>
    <col customWidth="1" min="4" max="4" width="22.13"/>
    <col customWidth="1" min="5" max="5" width="16.75"/>
    <col customWidth="1" min="6" max="6" width="20.0"/>
    <col customWidth="1" min="7" max="7" width="27.25"/>
    <col customWidth="1" min="8" max="8" width="14.0"/>
    <col customWidth="1" min="10" max="10" width="18.13"/>
    <col customWidth="1" min="11" max="11" width="14.0"/>
    <col customWidth="1" min="12" max="12" width="14.13"/>
  </cols>
  <sheetData>
    <row r="1">
      <c r="A1" s="225" t="s">
        <v>24</v>
      </c>
      <c r="B1" s="226" t="s">
        <v>25</v>
      </c>
      <c r="C1" s="226" t="s">
        <v>26</v>
      </c>
      <c r="D1" s="226" t="s">
        <v>27</v>
      </c>
      <c r="E1" s="181"/>
      <c r="F1" s="230" t="s">
        <v>24</v>
      </c>
      <c r="G1" s="231" t="s">
        <v>28</v>
      </c>
      <c r="H1" s="183" t="s">
        <v>26</v>
      </c>
      <c r="I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228">
        <v>45656.0</v>
      </c>
      <c r="B2" s="185" t="s">
        <v>862</v>
      </c>
      <c r="C2" s="232">
        <v>-706.0</v>
      </c>
      <c r="D2" s="186" t="s">
        <v>40</v>
      </c>
      <c r="E2" s="181"/>
      <c r="F2" s="184">
        <v>45656.0</v>
      </c>
      <c r="G2" s="185" t="s">
        <v>863</v>
      </c>
      <c r="H2" s="191">
        <v>29863.0</v>
      </c>
      <c r="I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B3" s="185" t="s">
        <v>89</v>
      </c>
      <c r="C3" s="232">
        <v>18.0</v>
      </c>
      <c r="D3" s="186" t="s">
        <v>40</v>
      </c>
      <c r="E3" s="181"/>
      <c r="F3" s="184">
        <v>45657.0</v>
      </c>
      <c r="G3" s="185" t="s">
        <v>864</v>
      </c>
      <c r="H3" s="191">
        <v>2000.0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B4" s="185" t="s">
        <v>50</v>
      </c>
      <c r="C4" s="232">
        <v>35.0</v>
      </c>
      <c r="D4" s="186" t="s">
        <v>40</v>
      </c>
      <c r="E4" s="181"/>
      <c r="F4" s="184">
        <v>45670.0</v>
      </c>
      <c r="G4" s="185" t="s">
        <v>199</v>
      </c>
      <c r="H4" s="191">
        <v>4000.0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B5" s="185" t="s">
        <v>152</v>
      </c>
      <c r="C5" s="232">
        <v>52.0</v>
      </c>
      <c r="D5" s="186" t="s">
        <v>40</v>
      </c>
      <c r="E5" s="181"/>
      <c r="F5" s="184">
        <v>45672.0</v>
      </c>
      <c r="G5" s="185" t="s">
        <v>865</v>
      </c>
      <c r="H5" s="191">
        <v>15015.0</v>
      </c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B6" s="185" t="s">
        <v>370</v>
      </c>
      <c r="C6" s="232">
        <v>350.0</v>
      </c>
      <c r="D6" s="186" t="s">
        <v>40</v>
      </c>
      <c r="E6" s="181"/>
      <c r="F6" s="184">
        <v>45680.0</v>
      </c>
      <c r="G6" s="185" t="s">
        <v>866</v>
      </c>
      <c r="H6" s="191">
        <v>17107.0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B7" s="185" t="s">
        <v>258</v>
      </c>
      <c r="C7" s="232">
        <v>28.0</v>
      </c>
      <c r="D7" s="186" t="s">
        <v>40</v>
      </c>
      <c r="E7" s="181"/>
      <c r="F7" s="184">
        <v>45682.0</v>
      </c>
      <c r="G7" s="185" t="s">
        <v>867</v>
      </c>
      <c r="H7" s="191">
        <v>3710.0</v>
      </c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B8" s="185" t="s">
        <v>93</v>
      </c>
      <c r="C8" s="232">
        <v>95.0</v>
      </c>
      <c r="D8" s="186" t="s">
        <v>40</v>
      </c>
      <c r="E8" s="181"/>
      <c r="F8" s="92"/>
      <c r="G8" s="185" t="s">
        <v>766</v>
      </c>
      <c r="H8" s="191">
        <v>4000.0</v>
      </c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B9" s="185" t="s">
        <v>868</v>
      </c>
      <c r="C9" s="232">
        <v>3500.0</v>
      </c>
      <c r="D9" s="186" t="s">
        <v>603</v>
      </c>
      <c r="E9" s="181"/>
      <c r="F9" s="219"/>
      <c r="G9" s="181"/>
      <c r="H9" s="192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B10" s="185" t="s">
        <v>553</v>
      </c>
      <c r="C10" s="232">
        <v>500.0</v>
      </c>
      <c r="D10" s="186" t="s">
        <v>40</v>
      </c>
      <c r="E10" s="181"/>
      <c r="F10" s="219"/>
      <c r="G10" s="181"/>
      <c r="H10" s="192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228">
        <v>45657.0</v>
      </c>
      <c r="B11" s="185" t="s">
        <v>50</v>
      </c>
      <c r="C11" s="232">
        <v>35.0</v>
      </c>
      <c r="D11" s="186" t="s">
        <v>40</v>
      </c>
      <c r="E11" s="181"/>
      <c r="F11" s="219"/>
      <c r="G11" s="181"/>
      <c r="H11" s="192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B12" s="185" t="s">
        <v>148</v>
      </c>
      <c r="C12" s="232">
        <v>20.0</v>
      </c>
      <c r="D12" s="186" t="s">
        <v>40</v>
      </c>
      <c r="E12" s="181"/>
      <c r="F12" s="220"/>
      <c r="G12" s="195"/>
      <c r="H12" s="196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B13" s="185" t="s">
        <v>84</v>
      </c>
      <c r="C13" s="232">
        <v>9000.0</v>
      </c>
      <c r="D13" s="186" t="s">
        <v>603</v>
      </c>
      <c r="E13" s="181"/>
      <c r="F13" s="197" t="s">
        <v>49</v>
      </c>
      <c r="G13" s="198">
        <f>SUM(H2:H12)</f>
        <v>75695</v>
      </c>
      <c r="H13" s="27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B14" s="185" t="s">
        <v>93</v>
      </c>
      <c r="C14" s="232">
        <v>49.0</v>
      </c>
      <c r="D14" s="186" t="s">
        <v>40</v>
      </c>
      <c r="E14" s="181"/>
      <c r="F14" s="199" t="s">
        <v>51</v>
      </c>
      <c r="G14" s="200">
        <f>SUM(C2:C180) + G15</f>
        <v>62810</v>
      </c>
      <c r="H14" s="3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B15" s="185" t="s">
        <v>869</v>
      </c>
      <c r="C15" s="232">
        <v>365.0</v>
      </c>
      <c r="D15" s="186" t="s">
        <v>40</v>
      </c>
      <c r="E15" s="181"/>
      <c r="F15" s="199" t="s">
        <v>707</v>
      </c>
      <c r="G15" s="201">
        <f>678+77</f>
        <v>755</v>
      </c>
      <c r="H15" s="3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B16" s="185" t="s">
        <v>133</v>
      </c>
      <c r="C16" s="232">
        <v>40.0</v>
      </c>
      <c r="D16" s="186" t="s">
        <v>40</v>
      </c>
      <c r="E16" s="181"/>
      <c r="F16" s="199" t="s">
        <v>55</v>
      </c>
      <c r="G16" s="201">
        <v>0.0</v>
      </c>
      <c r="H16" s="3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228">
        <v>45658.0</v>
      </c>
      <c r="B17" s="185" t="s">
        <v>50</v>
      </c>
      <c r="C17" s="232">
        <v>32.0</v>
      </c>
      <c r="D17" s="186" t="s">
        <v>40</v>
      </c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B18" s="185" t="s">
        <v>258</v>
      </c>
      <c r="C18" s="232">
        <v>27.0</v>
      </c>
      <c r="D18" s="186" t="s">
        <v>40</v>
      </c>
      <c r="E18" s="181"/>
      <c r="F18" s="199" t="s">
        <v>500</v>
      </c>
      <c r="G18" s="233">
        <f>G13-G14-G32+H32</f>
        <v>12885</v>
      </c>
      <c r="H18" s="3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B19" s="185" t="s">
        <v>533</v>
      </c>
      <c r="C19" s="232">
        <v>801.0</v>
      </c>
      <c r="D19" s="186" t="s">
        <v>40</v>
      </c>
      <c r="E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B20" s="185" t="s">
        <v>870</v>
      </c>
      <c r="C20" s="232">
        <v>4354.0</v>
      </c>
      <c r="D20" s="186" t="s">
        <v>475</v>
      </c>
      <c r="E20" s="181"/>
      <c r="F20" s="204" t="s">
        <v>62</v>
      </c>
      <c r="G20" s="204" t="s">
        <v>63</v>
      </c>
      <c r="H20" s="204" t="s">
        <v>64</v>
      </c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B21" s="185" t="s">
        <v>173</v>
      </c>
      <c r="C21" s="232">
        <v>315.0</v>
      </c>
      <c r="D21" s="186" t="s">
        <v>40</v>
      </c>
      <c r="E21" s="181"/>
      <c r="F21" s="205" t="s">
        <v>40</v>
      </c>
      <c r="G21" s="206">
        <v>5000.0</v>
      </c>
      <c r="H21" s="207">
        <f>SUMIF(D2:D105, "=Living expense",C2:C105)</f>
        <v>20405</v>
      </c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B22" s="185" t="s">
        <v>148</v>
      </c>
      <c r="C22" s="232">
        <v>53.0</v>
      </c>
      <c r="D22" s="186" t="s">
        <v>40</v>
      </c>
      <c r="E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B23" s="185" t="s">
        <v>770</v>
      </c>
      <c r="C23" s="232">
        <v>3221.0</v>
      </c>
      <c r="D23" s="186" t="s">
        <v>770</v>
      </c>
      <c r="E23" s="181"/>
      <c r="F23" s="208" t="s">
        <v>67</v>
      </c>
      <c r="G23" s="2"/>
      <c r="H23" s="3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228">
        <v>45659.0</v>
      </c>
      <c r="B24" s="185" t="s">
        <v>152</v>
      </c>
      <c r="C24" s="232">
        <v>24.0</v>
      </c>
      <c r="D24" s="186" t="s">
        <v>40</v>
      </c>
      <c r="E24" s="181"/>
      <c r="F24" s="204" t="s">
        <v>62</v>
      </c>
      <c r="G24" s="204" t="s">
        <v>63</v>
      </c>
      <c r="H24" s="204" t="s">
        <v>64</v>
      </c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B25" s="185" t="s">
        <v>91</v>
      </c>
      <c r="C25" s="232">
        <v>71.0</v>
      </c>
      <c r="D25" s="186" t="s">
        <v>40</v>
      </c>
      <c r="E25" s="181"/>
      <c r="F25" s="234" t="s">
        <v>603</v>
      </c>
      <c r="G25" s="235">
        <v>12500.0</v>
      </c>
      <c r="H25" s="236">
        <f>SUMIF(D3:D190, "=Debt",C3:C190)</f>
        <v>12500</v>
      </c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B26" s="185" t="s">
        <v>869</v>
      </c>
      <c r="C26" s="232">
        <v>50.0</v>
      </c>
      <c r="D26" s="186" t="s">
        <v>40</v>
      </c>
      <c r="E26" s="181"/>
      <c r="F26" s="234" t="s">
        <v>12</v>
      </c>
      <c r="G26" s="235">
        <v>3000.0</v>
      </c>
      <c r="H26" s="236">
        <f>SUMIF(D4:D191, "=Gonsa",C4:C191)</f>
        <v>3000</v>
      </c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B27" s="185" t="s">
        <v>148</v>
      </c>
      <c r="C27" s="232">
        <v>72.0</v>
      </c>
      <c r="D27" s="186" t="s">
        <v>40</v>
      </c>
      <c r="E27" s="181"/>
      <c r="F27" s="234" t="s">
        <v>101</v>
      </c>
      <c r="G27" s="235">
        <v>3000.0</v>
      </c>
      <c r="H27" s="236">
        <f>SUMIF(D5:D192, "=Parent",C5:C192)</f>
        <v>3000</v>
      </c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B28" s="185" t="s">
        <v>619</v>
      </c>
      <c r="C28" s="232">
        <v>200.0</v>
      </c>
      <c r="D28" s="186" t="s">
        <v>40</v>
      </c>
      <c r="E28" s="181"/>
      <c r="F28" s="234" t="s">
        <v>475</v>
      </c>
      <c r="G28" s="235">
        <v>4354.0</v>
      </c>
      <c r="H28" s="236">
        <f>SUMIF(D6:D193, "=Rent",C6:C193)</f>
        <v>4354</v>
      </c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B29" s="185" t="s">
        <v>148</v>
      </c>
      <c r="C29" s="232">
        <v>28.0</v>
      </c>
      <c r="D29" s="186" t="s">
        <v>40</v>
      </c>
      <c r="E29" s="181"/>
      <c r="F29" s="234" t="s">
        <v>770</v>
      </c>
      <c r="G29" s="235">
        <v>3221.0</v>
      </c>
      <c r="H29" s="236">
        <f>SUMIF(D7:D194, "=Laptop",C7:C194)</f>
        <v>3221</v>
      </c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228">
        <v>45660.0</v>
      </c>
      <c r="B30" s="185" t="s">
        <v>50</v>
      </c>
      <c r="C30" s="232">
        <v>35.0</v>
      </c>
      <c r="D30" s="186" t="s">
        <v>40</v>
      </c>
      <c r="E30" s="181"/>
      <c r="F30" s="234" t="s">
        <v>871</v>
      </c>
      <c r="G30" s="235">
        <v>462.0</v>
      </c>
      <c r="H30" s="236">
        <f>SUMIF(D8:D195, "=Book",C8:C195)</f>
        <v>462</v>
      </c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B31" s="185" t="s">
        <v>152</v>
      </c>
      <c r="C31" s="232">
        <v>23.0</v>
      </c>
      <c r="D31" s="186" t="s">
        <v>40</v>
      </c>
      <c r="E31" s="181"/>
      <c r="F31" s="234" t="s">
        <v>872</v>
      </c>
      <c r="G31" s="235">
        <v>1444.0</v>
      </c>
      <c r="H31" s="236">
        <f>SUMIF(D9:D196, "=Family trip",C9:C196)</f>
        <v>1444</v>
      </c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B32" s="185" t="s">
        <v>873</v>
      </c>
      <c r="C32" s="232">
        <v>139.0</v>
      </c>
      <c r="D32" s="186" t="s">
        <v>40</v>
      </c>
      <c r="E32" s="181"/>
      <c r="F32" s="216" t="s">
        <v>73</v>
      </c>
      <c r="G32" s="217">
        <f t="shared" ref="G32:H32" si="1">SUM(G27:G31)</f>
        <v>12481</v>
      </c>
      <c r="H32" s="217">
        <f t="shared" si="1"/>
        <v>12481</v>
      </c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B33" s="185" t="s">
        <v>93</v>
      </c>
      <c r="C33" s="232">
        <v>95.0</v>
      </c>
      <c r="D33" s="186" t="s">
        <v>40</v>
      </c>
      <c r="E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228">
        <v>45661.0</v>
      </c>
      <c r="B34" s="185" t="s">
        <v>50</v>
      </c>
      <c r="C34" s="232">
        <v>25.0</v>
      </c>
      <c r="D34" s="186" t="s">
        <v>40</v>
      </c>
      <c r="E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B35" s="185" t="s">
        <v>37</v>
      </c>
      <c r="C35" s="232">
        <v>50.0</v>
      </c>
      <c r="D35" s="186" t="s">
        <v>40</v>
      </c>
      <c r="E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B36" s="185" t="s">
        <v>633</v>
      </c>
      <c r="C36" s="232">
        <v>3000.0</v>
      </c>
      <c r="D36" s="186" t="s">
        <v>101</v>
      </c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B37" s="185" t="s">
        <v>74</v>
      </c>
      <c r="C37" s="232">
        <v>54.0</v>
      </c>
      <c r="D37" s="186" t="s">
        <v>40</v>
      </c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B38" s="185" t="s">
        <v>874</v>
      </c>
      <c r="C38" s="232">
        <v>33.0</v>
      </c>
      <c r="D38" s="186" t="s">
        <v>40</v>
      </c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B39" s="185" t="s">
        <v>112</v>
      </c>
      <c r="C39" s="232">
        <v>39.0</v>
      </c>
      <c r="D39" s="186" t="s">
        <v>40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228">
        <v>45662.0</v>
      </c>
      <c r="B40" s="185" t="s">
        <v>875</v>
      </c>
      <c r="C40" s="232">
        <v>30.0</v>
      </c>
      <c r="D40" s="186" t="s">
        <v>40</v>
      </c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B41" s="185" t="s">
        <v>876</v>
      </c>
      <c r="C41" s="232">
        <v>20.0</v>
      </c>
      <c r="D41" s="186" t="s">
        <v>40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B42" s="185" t="s">
        <v>117</v>
      </c>
      <c r="C42" s="232">
        <v>179.0</v>
      </c>
      <c r="D42" s="186" t="s">
        <v>40</v>
      </c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B43" s="185" t="s">
        <v>877</v>
      </c>
      <c r="C43" s="232">
        <v>259.0</v>
      </c>
      <c r="D43" s="186" t="s">
        <v>40</v>
      </c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B44" s="185" t="s">
        <v>878</v>
      </c>
      <c r="C44" s="232">
        <v>48.0</v>
      </c>
      <c r="D44" s="186" t="s">
        <v>40</v>
      </c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B45" s="185" t="s">
        <v>806</v>
      </c>
      <c r="C45" s="232">
        <v>20.0</v>
      </c>
      <c r="D45" s="186" t="s">
        <v>40</v>
      </c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B46" s="185" t="s">
        <v>295</v>
      </c>
      <c r="C46" s="232">
        <v>35.0</v>
      </c>
      <c r="D46" s="186" t="s">
        <v>40</v>
      </c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B47" s="185" t="s">
        <v>148</v>
      </c>
      <c r="C47" s="232">
        <v>106.0</v>
      </c>
      <c r="D47" s="186" t="s">
        <v>40</v>
      </c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B48" s="185" t="s">
        <v>619</v>
      </c>
      <c r="C48" s="232">
        <v>1500.0</v>
      </c>
      <c r="D48" s="186" t="s">
        <v>40</v>
      </c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B49" s="185" t="s">
        <v>879</v>
      </c>
      <c r="C49" s="232">
        <v>102.0</v>
      </c>
      <c r="D49" s="186" t="s">
        <v>40</v>
      </c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228">
        <v>45663.0</v>
      </c>
      <c r="B50" s="185" t="s">
        <v>152</v>
      </c>
      <c r="C50" s="232">
        <v>23.0</v>
      </c>
      <c r="D50" s="186" t="s">
        <v>40</v>
      </c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B51" s="185" t="s">
        <v>91</v>
      </c>
      <c r="C51" s="232">
        <v>59.0</v>
      </c>
      <c r="D51" s="186" t="s">
        <v>40</v>
      </c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B52" s="185" t="s">
        <v>880</v>
      </c>
      <c r="C52" s="232">
        <v>2000.0</v>
      </c>
      <c r="D52" s="186" t="s">
        <v>40</v>
      </c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B53" s="185" t="s">
        <v>881</v>
      </c>
      <c r="C53" s="232">
        <v>-180.0</v>
      </c>
      <c r="D53" s="186" t="s">
        <v>40</v>
      </c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228">
        <v>45664.0</v>
      </c>
      <c r="B54" s="185" t="s">
        <v>152</v>
      </c>
      <c r="C54" s="232">
        <v>14.0</v>
      </c>
      <c r="D54" s="186" t="s">
        <v>40</v>
      </c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B55" s="185" t="s">
        <v>93</v>
      </c>
      <c r="C55" s="232">
        <f>121-37-37</f>
        <v>47</v>
      </c>
      <c r="D55" s="186" t="s">
        <v>40</v>
      </c>
      <c r="E55" s="185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B56" s="185" t="s">
        <v>869</v>
      </c>
      <c r="C56" s="232">
        <v>150.0</v>
      </c>
      <c r="D56" s="186" t="s">
        <v>40</v>
      </c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B57" s="185" t="s">
        <v>37</v>
      </c>
      <c r="C57" s="232">
        <v>50.0</v>
      </c>
      <c r="D57" s="186" t="s">
        <v>40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B58" s="185" t="s">
        <v>112</v>
      </c>
      <c r="C58" s="232">
        <v>25.0</v>
      </c>
      <c r="D58" s="186" t="s">
        <v>40</v>
      </c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B59" s="185" t="s">
        <v>148</v>
      </c>
      <c r="C59" s="232">
        <v>20.0</v>
      </c>
      <c r="D59" s="186" t="s">
        <v>40</v>
      </c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228">
        <v>45665.0</v>
      </c>
      <c r="B60" s="185" t="s">
        <v>152</v>
      </c>
      <c r="C60" s="232">
        <v>14.0</v>
      </c>
      <c r="D60" s="186" t="s">
        <v>40</v>
      </c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B61" s="185" t="s">
        <v>93</v>
      </c>
      <c r="C61" s="232">
        <v>37.0</v>
      </c>
      <c r="D61" s="186" t="s">
        <v>40</v>
      </c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B62" s="185" t="s">
        <v>148</v>
      </c>
      <c r="C62" s="232">
        <v>51.0</v>
      </c>
      <c r="D62" s="186" t="s">
        <v>40</v>
      </c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228">
        <v>45666.0</v>
      </c>
      <c r="B63" s="185" t="s">
        <v>152</v>
      </c>
      <c r="C63" s="232">
        <v>14.0</v>
      </c>
      <c r="D63" s="186" t="s">
        <v>40</v>
      </c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B64" s="185" t="s">
        <v>93</v>
      </c>
      <c r="C64" s="232">
        <v>35.0</v>
      </c>
      <c r="D64" s="186" t="s">
        <v>40</v>
      </c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B65" s="185" t="s">
        <v>882</v>
      </c>
      <c r="C65" s="232">
        <v>179.0</v>
      </c>
      <c r="D65" s="186" t="s">
        <v>40</v>
      </c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B66" s="185" t="s">
        <v>148</v>
      </c>
      <c r="C66" s="232">
        <v>20.0</v>
      </c>
      <c r="D66" s="186" t="s">
        <v>40</v>
      </c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228">
        <v>45667.0</v>
      </c>
      <c r="B67" s="185" t="s">
        <v>50</v>
      </c>
      <c r="C67" s="232">
        <v>30.0</v>
      </c>
      <c r="D67" s="186" t="s">
        <v>40</v>
      </c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228">
        <v>45668.0</v>
      </c>
      <c r="B68" s="185" t="s">
        <v>50</v>
      </c>
      <c r="C68" s="232">
        <v>30.0</v>
      </c>
      <c r="D68" s="186" t="s">
        <v>40</v>
      </c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B69" s="185" t="s">
        <v>148</v>
      </c>
      <c r="C69" s="232">
        <v>70.0</v>
      </c>
      <c r="D69" s="186" t="s">
        <v>40</v>
      </c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B70" s="185" t="s">
        <v>568</v>
      </c>
      <c r="C70" s="232">
        <v>52.0</v>
      </c>
      <c r="D70" s="186" t="s">
        <v>40</v>
      </c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B71" s="185" t="s">
        <v>127</v>
      </c>
      <c r="C71" s="232">
        <v>38.0</v>
      </c>
      <c r="D71" s="186" t="s">
        <v>40</v>
      </c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B72" s="185" t="s">
        <v>148</v>
      </c>
      <c r="C72" s="232">
        <v>34.0</v>
      </c>
      <c r="D72" s="186" t="s">
        <v>40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228">
        <v>45669.0</v>
      </c>
      <c r="B73" s="185" t="s">
        <v>50</v>
      </c>
      <c r="C73" s="232">
        <v>38.0</v>
      </c>
      <c r="D73" s="186" t="s">
        <v>40</v>
      </c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B74" s="185" t="s">
        <v>127</v>
      </c>
      <c r="C74" s="232">
        <v>30.0</v>
      </c>
      <c r="D74" s="186" t="s">
        <v>40</v>
      </c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B75" s="185" t="s">
        <v>216</v>
      </c>
      <c r="C75" s="232">
        <v>28.0</v>
      </c>
      <c r="D75" s="186" t="s">
        <v>40</v>
      </c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228">
        <v>45670.0</v>
      </c>
      <c r="B76" s="185" t="s">
        <v>89</v>
      </c>
      <c r="C76" s="232">
        <v>18.0</v>
      </c>
      <c r="D76" s="186" t="s">
        <v>40</v>
      </c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B77" s="185" t="s">
        <v>152</v>
      </c>
      <c r="C77" s="232">
        <v>14.0</v>
      </c>
      <c r="D77" s="186" t="s">
        <v>40</v>
      </c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B78" s="185" t="s">
        <v>93</v>
      </c>
      <c r="C78" s="232">
        <v>66.0</v>
      </c>
      <c r="D78" s="186" t="s">
        <v>40</v>
      </c>
      <c r="E78" s="185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B79" s="185" t="s">
        <v>883</v>
      </c>
      <c r="C79" s="232">
        <v>50.0</v>
      </c>
      <c r="D79" s="186" t="s">
        <v>40</v>
      </c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228">
        <v>45671.0</v>
      </c>
      <c r="B80" s="185" t="s">
        <v>152</v>
      </c>
      <c r="C80" s="232">
        <v>14.0</v>
      </c>
      <c r="D80" s="186" t="s">
        <v>40</v>
      </c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B81" s="185" t="s">
        <v>12</v>
      </c>
      <c r="C81" s="232">
        <v>3000.0</v>
      </c>
      <c r="D81" s="186" t="s">
        <v>12</v>
      </c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B82" s="185" t="s">
        <v>553</v>
      </c>
      <c r="C82" s="232">
        <v>600.0</v>
      </c>
      <c r="D82" s="186" t="s">
        <v>40</v>
      </c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228">
        <v>45672.0</v>
      </c>
      <c r="B83" s="185" t="s">
        <v>152</v>
      </c>
      <c r="C83" s="232">
        <v>14.0</v>
      </c>
      <c r="D83" s="186" t="s">
        <v>40</v>
      </c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B84" s="185" t="s">
        <v>175</v>
      </c>
      <c r="C84" s="232">
        <v>52.0</v>
      </c>
      <c r="D84" s="186" t="s">
        <v>40</v>
      </c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B85" s="185" t="s">
        <v>37</v>
      </c>
      <c r="C85" s="232">
        <v>50.0</v>
      </c>
      <c r="D85" s="186" t="s">
        <v>40</v>
      </c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B86" s="185" t="s">
        <v>148</v>
      </c>
      <c r="C86" s="232">
        <v>28.0</v>
      </c>
      <c r="D86" s="186" t="s">
        <v>40</v>
      </c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228">
        <v>45673.0</v>
      </c>
      <c r="B87" s="185" t="s">
        <v>152</v>
      </c>
      <c r="C87" s="232">
        <v>14.0</v>
      </c>
      <c r="D87" s="186" t="s">
        <v>40</v>
      </c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B88" s="185" t="s">
        <v>175</v>
      </c>
      <c r="C88" s="232">
        <v>30.0</v>
      </c>
      <c r="D88" s="186" t="s">
        <v>40</v>
      </c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228">
        <v>45674.0</v>
      </c>
      <c r="B89" s="185" t="s">
        <v>89</v>
      </c>
      <c r="C89" s="232">
        <v>18.0</v>
      </c>
      <c r="D89" s="186" t="s">
        <v>40</v>
      </c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B90" s="185" t="s">
        <v>50</v>
      </c>
      <c r="C90" s="232">
        <v>35.0</v>
      </c>
      <c r="D90" s="186" t="s">
        <v>40</v>
      </c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B91" s="185" t="s">
        <v>152</v>
      </c>
      <c r="C91" s="232">
        <v>14.0</v>
      </c>
      <c r="D91" s="186" t="s">
        <v>40</v>
      </c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B92" s="185" t="s">
        <v>93</v>
      </c>
      <c r="C92" s="232">
        <v>66.0</v>
      </c>
      <c r="D92" s="186" t="s">
        <v>40</v>
      </c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B93" s="185" t="s">
        <v>553</v>
      </c>
      <c r="C93" s="232">
        <v>2000.0</v>
      </c>
      <c r="D93" s="186" t="s">
        <v>40</v>
      </c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B94" s="185" t="s">
        <v>880</v>
      </c>
      <c r="C94" s="232">
        <v>1500.0</v>
      </c>
      <c r="D94" s="186" t="s">
        <v>40</v>
      </c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B95" s="185" t="s">
        <v>117</v>
      </c>
      <c r="C95" s="232">
        <v>462.0</v>
      </c>
      <c r="D95" s="186" t="s">
        <v>871</v>
      </c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B96" s="185" t="s">
        <v>148</v>
      </c>
      <c r="C96" s="232">
        <v>60.0</v>
      </c>
      <c r="D96" s="186" t="s">
        <v>40</v>
      </c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228">
        <v>45675.0</v>
      </c>
      <c r="B97" s="185" t="s">
        <v>226</v>
      </c>
      <c r="C97" s="232">
        <v>22.0</v>
      </c>
      <c r="D97" s="186" t="s">
        <v>40</v>
      </c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B98" s="185" t="s">
        <v>619</v>
      </c>
      <c r="C98" s="232">
        <v>2500.0</v>
      </c>
      <c r="D98" s="186" t="s">
        <v>40</v>
      </c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B99" s="185" t="s">
        <v>84</v>
      </c>
      <c r="C99" s="232">
        <v>4000.0</v>
      </c>
      <c r="D99" s="186" t="s">
        <v>40</v>
      </c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B100" s="185" t="s">
        <v>884</v>
      </c>
      <c r="C100" s="232">
        <v>228.0</v>
      </c>
      <c r="D100" s="186" t="s">
        <v>40</v>
      </c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B101" s="185" t="s">
        <v>885</v>
      </c>
      <c r="C101" s="232">
        <v>490.0</v>
      </c>
      <c r="D101" s="186" t="s">
        <v>40</v>
      </c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B102" s="185" t="s">
        <v>318</v>
      </c>
      <c r="C102" s="232">
        <v>25.0</v>
      </c>
      <c r="D102" s="186" t="s">
        <v>40</v>
      </c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B103" s="185" t="s">
        <v>886</v>
      </c>
      <c r="C103" s="232">
        <v>25.0</v>
      </c>
      <c r="D103" s="186" t="s">
        <v>40</v>
      </c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B104" s="185" t="s">
        <v>93</v>
      </c>
      <c r="C104" s="232">
        <v>188.0</v>
      </c>
      <c r="D104" s="186" t="s">
        <v>40</v>
      </c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228">
        <v>45676.0</v>
      </c>
      <c r="B105" s="185" t="s">
        <v>89</v>
      </c>
      <c r="C105" s="232">
        <v>30.0</v>
      </c>
      <c r="D105" s="186" t="s">
        <v>40</v>
      </c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B106" s="185" t="s">
        <v>117</v>
      </c>
      <c r="C106" s="232">
        <v>50.0</v>
      </c>
      <c r="D106" s="186" t="s">
        <v>40</v>
      </c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B107" s="185" t="s">
        <v>148</v>
      </c>
      <c r="C107" s="232">
        <v>62.0</v>
      </c>
      <c r="D107" s="186" t="s">
        <v>40</v>
      </c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B108" s="185" t="s">
        <v>887</v>
      </c>
      <c r="C108" s="232">
        <v>43.0</v>
      </c>
      <c r="D108" s="186" t="s">
        <v>40</v>
      </c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B109" s="185" t="s">
        <v>93</v>
      </c>
      <c r="C109" s="232">
        <v>37.0</v>
      </c>
      <c r="D109" s="186" t="s">
        <v>40</v>
      </c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228">
        <v>45677.0</v>
      </c>
      <c r="B110" s="185" t="s">
        <v>152</v>
      </c>
      <c r="C110" s="232">
        <v>14.0</v>
      </c>
      <c r="D110" s="186" t="s">
        <v>40</v>
      </c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B111" s="185" t="s">
        <v>93</v>
      </c>
      <c r="C111" s="232">
        <v>90.0</v>
      </c>
      <c r="D111" s="186" t="s">
        <v>40</v>
      </c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B112" s="185" t="s">
        <v>553</v>
      </c>
      <c r="C112" s="232">
        <v>1000.0</v>
      </c>
      <c r="D112" s="186" t="s">
        <v>40</v>
      </c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228">
        <v>45678.0</v>
      </c>
      <c r="B113" s="185" t="s">
        <v>152</v>
      </c>
      <c r="C113" s="232">
        <v>14.0</v>
      </c>
      <c r="D113" s="186" t="s">
        <v>40</v>
      </c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B114" s="185" t="s">
        <v>93</v>
      </c>
      <c r="C114" s="232">
        <v>30.0</v>
      </c>
      <c r="D114" s="186" t="s">
        <v>40</v>
      </c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B115" s="185" t="s">
        <v>117</v>
      </c>
      <c r="C115" s="232">
        <v>25.0</v>
      </c>
      <c r="D115" s="186" t="s">
        <v>40</v>
      </c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B116" s="185" t="s">
        <v>148</v>
      </c>
      <c r="C116" s="232">
        <v>48.0</v>
      </c>
      <c r="D116" s="186" t="s">
        <v>40</v>
      </c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228">
        <v>45679.0</v>
      </c>
      <c r="B117" s="185" t="s">
        <v>888</v>
      </c>
      <c r="C117" s="232">
        <v>18.0</v>
      </c>
      <c r="D117" s="186" t="s">
        <v>40</v>
      </c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B118" s="185" t="s">
        <v>152</v>
      </c>
      <c r="C118" s="232">
        <v>14.0</v>
      </c>
      <c r="D118" s="186" t="s">
        <v>40</v>
      </c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B119" s="185" t="s">
        <v>93</v>
      </c>
      <c r="C119" s="232">
        <v>124.0</v>
      </c>
      <c r="D119" s="186" t="s">
        <v>40</v>
      </c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228">
        <v>45680.0</v>
      </c>
      <c r="B120" s="185" t="s">
        <v>89</v>
      </c>
      <c r="C120" s="232">
        <v>20.0</v>
      </c>
      <c r="D120" s="186" t="s">
        <v>40</v>
      </c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B121" s="185" t="s">
        <v>152</v>
      </c>
      <c r="C121" s="232">
        <v>14.0</v>
      </c>
      <c r="D121" s="186" t="s">
        <v>40</v>
      </c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B122" s="185" t="s">
        <v>889</v>
      </c>
      <c r="C122" s="232">
        <v>1650.0</v>
      </c>
      <c r="D122" s="186" t="s">
        <v>40</v>
      </c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B123" s="185" t="s">
        <v>890</v>
      </c>
      <c r="C123" s="232">
        <v>-688.0</v>
      </c>
      <c r="D123" s="186" t="s">
        <v>40</v>
      </c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B124" s="185" t="s">
        <v>891</v>
      </c>
      <c r="C124" s="232">
        <v>-275.0</v>
      </c>
      <c r="D124" s="186" t="s">
        <v>40</v>
      </c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B125" s="185" t="s">
        <v>892</v>
      </c>
      <c r="C125" s="232">
        <v>315.0</v>
      </c>
      <c r="D125" s="186" t="s">
        <v>40</v>
      </c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B126" s="185" t="s">
        <v>893</v>
      </c>
      <c r="C126" s="232">
        <v>188.0</v>
      </c>
      <c r="D126" s="186" t="s">
        <v>40</v>
      </c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228">
        <v>45681.0</v>
      </c>
      <c r="B127" s="185" t="s">
        <v>50</v>
      </c>
      <c r="C127" s="232">
        <v>67.0</v>
      </c>
      <c r="D127" s="186" t="s">
        <v>40</v>
      </c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B128" s="185" t="s">
        <v>894</v>
      </c>
      <c r="C128" s="232">
        <v>600.0</v>
      </c>
      <c r="D128" s="186" t="s">
        <v>40</v>
      </c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B129" s="185" t="s">
        <v>117</v>
      </c>
      <c r="C129" s="232">
        <v>50.0</v>
      </c>
      <c r="D129" s="186" t="s">
        <v>40</v>
      </c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B130" s="185" t="s">
        <v>553</v>
      </c>
      <c r="C130" s="232">
        <v>1000.0</v>
      </c>
      <c r="D130" s="186" t="s">
        <v>40</v>
      </c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B131" s="185" t="s">
        <v>148</v>
      </c>
      <c r="C131" s="232">
        <v>54.0</v>
      </c>
      <c r="D131" s="186" t="s">
        <v>40</v>
      </c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B132" s="185" t="s">
        <v>895</v>
      </c>
      <c r="C132" s="232">
        <v>150.0</v>
      </c>
      <c r="D132" s="186" t="s">
        <v>40</v>
      </c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B133" s="185" t="s">
        <v>13</v>
      </c>
      <c r="C133" s="232">
        <v>50.0</v>
      </c>
      <c r="D133" s="186" t="s">
        <v>40</v>
      </c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228">
        <v>45682.0</v>
      </c>
      <c r="B134" s="185" t="s">
        <v>50</v>
      </c>
      <c r="C134" s="232">
        <v>40.0</v>
      </c>
      <c r="D134" s="186" t="s">
        <v>40</v>
      </c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B135" s="185" t="s">
        <v>896</v>
      </c>
      <c r="C135" s="232">
        <v>1426.0</v>
      </c>
      <c r="D135" s="186" t="s">
        <v>40</v>
      </c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B136" s="185" t="s">
        <v>148</v>
      </c>
      <c r="C136" s="232">
        <v>20.0</v>
      </c>
      <c r="D136" s="186" t="s">
        <v>40</v>
      </c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228">
        <v>45683.0</v>
      </c>
      <c r="B137" s="185" t="s">
        <v>80</v>
      </c>
      <c r="C137" s="232">
        <v>90.0</v>
      </c>
      <c r="D137" s="186" t="s">
        <v>40</v>
      </c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B138" s="185" t="s">
        <v>148</v>
      </c>
      <c r="C138" s="232">
        <v>28.0</v>
      </c>
      <c r="D138" s="186" t="s">
        <v>40</v>
      </c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228">
        <v>45684.0</v>
      </c>
      <c r="B139" s="185" t="s">
        <v>89</v>
      </c>
      <c r="C139" s="232">
        <v>30.0</v>
      </c>
      <c r="D139" s="186" t="s">
        <v>40</v>
      </c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B140" s="185" t="s">
        <v>148</v>
      </c>
      <c r="C140" s="232">
        <v>20.0</v>
      </c>
      <c r="D140" s="186" t="s">
        <v>40</v>
      </c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B141" s="185" t="s">
        <v>897</v>
      </c>
      <c r="C141" s="232">
        <v>25.0</v>
      </c>
      <c r="D141" s="186" t="s">
        <v>40</v>
      </c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B142" s="185" t="s">
        <v>148</v>
      </c>
      <c r="C142" s="232">
        <v>70.0</v>
      </c>
      <c r="D142" s="186" t="s">
        <v>40</v>
      </c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B143" s="185" t="s">
        <v>80</v>
      </c>
      <c r="C143" s="232">
        <v>117.0</v>
      </c>
      <c r="D143" s="186" t="s">
        <v>40</v>
      </c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B144" s="185" t="s">
        <v>96</v>
      </c>
      <c r="C144" s="232">
        <v>25.0</v>
      </c>
      <c r="D144" s="186" t="s">
        <v>40</v>
      </c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228">
        <v>45685.0</v>
      </c>
      <c r="B145" s="185" t="s">
        <v>898</v>
      </c>
      <c r="C145" s="232">
        <v>350.0</v>
      </c>
      <c r="D145" s="186" t="s">
        <v>40</v>
      </c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B146" s="185" t="s">
        <v>899</v>
      </c>
      <c r="C146" s="232">
        <v>10.0</v>
      </c>
      <c r="D146" s="186" t="s">
        <v>40</v>
      </c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B147" s="185" t="s">
        <v>900</v>
      </c>
      <c r="C147" s="232">
        <v>2200.0</v>
      </c>
      <c r="D147" s="186" t="s">
        <v>40</v>
      </c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B148" s="185" t="s">
        <v>901</v>
      </c>
      <c r="C148" s="232">
        <v>202.0</v>
      </c>
      <c r="D148" s="186" t="s">
        <v>40</v>
      </c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B149" s="185" t="s">
        <v>902</v>
      </c>
      <c r="C149" s="232">
        <v>72.0</v>
      </c>
      <c r="D149" s="186" t="s">
        <v>40</v>
      </c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B150" s="185" t="s">
        <v>187</v>
      </c>
      <c r="C150" s="232">
        <v>309.0</v>
      </c>
      <c r="D150" s="186" t="s">
        <v>40</v>
      </c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B151" s="185" t="s">
        <v>903</v>
      </c>
      <c r="C151" s="232">
        <v>340.0</v>
      </c>
      <c r="D151" s="186" t="s">
        <v>40</v>
      </c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228">
        <v>45686.0</v>
      </c>
      <c r="B152" s="185" t="s">
        <v>89</v>
      </c>
      <c r="C152" s="237">
        <f>99+24</f>
        <v>123</v>
      </c>
      <c r="D152" s="186" t="s">
        <v>40</v>
      </c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B153" s="185" t="s">
        <v>904</v>
      </c>
      <c r="C153" s="232">
        <v>24.0</v>
      </c>
      <c r="D153" s="186" t="s">
        <v>40</v>
      </c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B154" s="185" t="s">
        <v>422</v>
      </c>
      <c r="C154" s="232">
        <v>1450.0</v>
      </c>
      <c r="D154" s="186" t="s">
        <v>40</v>
      </c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B155" s="185" t="s">
        <v>899</v>
      </c>
      <c r="C155" s="232">
        <v>143.0</v>
      </c>
      <c r="D155" s="186" t="s">
        <v>40</v>
      </c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B156" s="185" t="s">
        <v>136</v>
      </c>
      <c r="C156" s="232">
        <v>42.0</v>
      </c>
      <c r="D156" s="186" t="s">
        <v>40</v>
      </c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228">
        <v>45687.0</v>
      </c>
      <c r="B157" s="185" t="s">
        <v>905</v>
      </c>
      <c r="C157" s="232">
        <v>35.0</v>
      </c>
      <c r="D157" s="186" t="s">
        <v>40</v>
      </c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B158" s="185" t="s">
        <v>235</v>
      </c>
      <c r="C158" s="232">
        <v>15.0</v>
      </c>
      <c r="D158" s="186" t="s">
        <v>40</v>
      </c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B159" s="185" t="s">
        <v>211</v>
      </c>
      <c r="C159" s="232">
        <v>208.0</v>
      </c>
      <c r="D159" s="186" t="s">
        <v>872</v>
      </c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B160" s="185" t="s">
        <v>300</v>
      </c>
      <c r="C160" s="232">
        <v>40.0</v>
      </c>
      <c r="D160" s="186" t="s">
        <v>872</v>
      </c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B161" s="185" t="s">
        <v>906</v>
      </c>
      <c r="C161" s="232">
        <v>319.0</v>
      </c>
      <c r="D161" s="186" t="s">
        <v>872</v>
      </c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B162" s="185" t="s">
        <v>907</v>
      </c>
      <c r="C162" s="232">
        <v>93.0</v>
      </c>
      <c r="D162" s="186" t="s">
        <v>872</v>
      </c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B163" s="185" t="s">
        <v>908</v>
      </c>
      <c r="C163" s="232">
        <v>179.0</v>
      </c>
      <c r="D163" s="186" t="s">
        <v>872</v>
      </c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B164" s="185" t="s">
        <v>343</v>
      </c>
      <c r="C164" s="232">
        <v>77.0</v>
      </c>
      <c r="D164" s="186" t="s">
        <v>872</v>
      </c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B165" s="185" t="s">
        <v>909</v>
      </c>
      <c r="C165" s="232">
        <v>248.0</v>
      </c>
      <c r="D165" s="186" t="s">
        <v>872</v>
      </c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B166" s="185" t="s">
        <v>117</v>
      </c>
      <c r="C166" s="232">
        <v>215.0</v>
      </c>
      <c r="D166" s="186" t="s">
        <v>872</v>
      </c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B167" s="185" t="s">
        <v>444</v>
      </c>
      <c r="C167" s="232">
        <v>65.0</v>
      </c>
      <c r="D167" s="186" t="s">
        <v>872</v>
      </c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228">
        <v>45688.0</v>
      </c>
      <c r="B168" s="185" t="s">
        <v>89</v>
      </c>
      <c r="C168" s="232">
        <v>37.0</v>
      </c>
      <c r="D168" s="186" t="s">
        <v>40</v>
      </c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B169" s="185" t="s">
        <v>807</v>
      </c>
      <c r="C169" s="232">
        <v>32.0</v>
      </c>
      <c r="D169" s="186" t="s">
        <v>40</v>
      </c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B170" s="185" t="s">
        <v>130</v>
      </c>
      <c r="C170" s="232">
        <v>30.0</v>
      </c>
      <c r="D170" s="186" t="s">
        <v>40</v>
      </c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B171" s="185" t="s">
        <v>910</v>
      </c>
      <c r="C171" s="232">
        <v>600.0</v>
      </c>
      <c r="D171" s="186" t="s">
        <v>40</v>
      </c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B172" s="185" t="s">
        <v>592</v>
      </c>
      <c r="C172" s="232">
        <v>1000.0</v>
      </c>
      <c r="D172" s="186" t="s">
        <v>40</v>
      </c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228"/>
      <c r="B173" s="181"/>
      <c r="C173" s="237"/>
      <c r="D173" s="186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228"/>
      <c r="B174" s="181"/>
      <c r="C174" s="237"/>
      <c r="D174" s="186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228"/>
      <c r="B175" s="181"/>
      <c r="C175" s="237"/>
      <c r="D175" s="186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228"/>
      <c r="B176" s="181"/>
      <c r="C176" s="237"/>
      <c r="D176" s="186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228"/>
      <c r="B177" s="181"/>
      <c r="C177" s="237"/>
      <c r="D177" s="186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228"/>
      <c r="B178" s="181"/>
      <c r="C178" s="237"/>
      <c r="D178" s="186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237"/>
      <c r="D179" s="186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237"/>
      <c r="D180" s="186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237"/>
      <c r="D181" s="22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237"/>
      <c r="D182" s="22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237"/>
      <c r="D183" s="22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237"/>
      <c r="D184" s="22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237"/>
      <c r="D185" s="22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237"/>
      <c r="D186" s="22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237"/>
      <c r="D187" s="22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237"/>
      <c r="D188" s="22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237"/>
      <c r="D189" s="22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237"/>
      <c r="D190" s="22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237"/>
      <c r="D191" s="22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237"/>
      <c r="D192" s="22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237"/>
      <c r="D193" s="22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237"/>
      <c r="D194" s="22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237"/>
      <c r="D195" s="22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237"/>
      <c r="D196" s="22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237"/>
      <c r="D197" s="22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237"/>
      <c r="D198" s="22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237"/>
      <c r="D199" s="22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237"/>
      <c r="D200" s="22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237"/>
      <c r="D201" s="22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237"/>
      <c r="D202" s="22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237"/>
      <c r="D203" s="22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237"/>
      <c r="D204" s="22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237"/>
      <c r="D205" s="22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237"/>
      <c r="D206" s="22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237"/>
      <c r="D207" s="22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237"/>
      <c r="D208" s="22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237"/>
      <c r="D209" s="22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237"/>
      <c r="D210" s="22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237"/>
      <c r="D211" s="22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237"/>
      <c r="D212" s="22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237"/>
      <c r="D213" s="22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237"/>
      <c r="D214" s="22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237"/>
      <c r="D215" s="22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237"/>
      <c r="D216" s="22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237"/>
      <c r="D217" s="22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237"/>
      <c r="D218" s="22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237"/>
      <c r="D219" s="22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237"/>
      <c r="D220" s="22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237"/>
      <c r="D221" s="22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237"/>
      <c r="D222" s="22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237"/>
      <c r="D223" s="22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237"/>
      <c r="D224" s="22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237"/>
      <c r="D225" s="22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237"/>
      <c r="D226" s="22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237"/>
      <c r="D227" s="22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237"/>
      <c r="D228" s="22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237"/>
      <c r="D229" s="22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237"/>
      <c r="D230" s="22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237"/>
      <c r="D231" s="22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237"/>
      <c r="D232" s="22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237"/>
      <c r="D233" s="22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237"/>
      <c r="D234" s="22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237"/>
      <c r="D235" s="22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237"/>
      <c r="D236" s="22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237"/>
      <c r="D237" s="22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237"/>
      <c r="D238" s="22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237"/>
      <c r="D239" s="22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237"/>
      <c r="D240" s="22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237"/>
      <c r="D241" s="22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237"/>
      <c r="D242" s="22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237"/>
      <c r="D243" s="22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237"/>
      <c r="D244" s="22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237"/>
      <c r="D245" s="22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237"/>
      <c r="D246" s="22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237"/>
      <c r="D247" s="22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237"/>
      <c r="D248" s="22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237"/>
      <c r="D249" s="22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237"/>
      <c r="D250" s="22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237"/>
      <c r="D251" s="22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237"/>
      <c r="D252" s="22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237"/>
      <c r="D253" s="22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237"/>
      <c r="D254" s="22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237"/>
      <c r="D255" s="22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237"/>
      <c r="D256" s="22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237"/>
      <c r="D257" s="22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237"/>
      <c r="D258" s="22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237"/>
      <c r="D259" s="22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237"/>
      <c r="D260" s="22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237"/>
      <c r="D261" s="22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237"/>
      <c r="D262" s="22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237"/>
      <c r="D263" s="22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237"/>
      <c r="D264" s="22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237"/>
      <c r="D265" s="22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237"/>
      <c r="D266" s="22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237"/>
      <c r="D267" s="22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237"/>
      <c r="D268" s="22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237"/>
      <c r="D269" s="22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237"/>
      <c r="D270" s="22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237"/>
      <c r="D271" s="22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237"/>
      <c r="D272" s="22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237"/>
      <c r="D273" s="22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237"/>
      <c r="D274" s="22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237"/>
      <c r="D275" s="22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237"/>
      <c r="D276" s="22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237"/>
      <c r="D277" s="22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237"/>
      <c r="D278" s="22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237"/>
      <c r="D279" s="22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237"/>
      <c r="D280" s="22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237"/>
      <c r="D281" s="22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237"/>
      <c r="D282" s="22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237"/>
      <c r="D283" s="22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237"/>
      <c r="D284" s="22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237"/>
      <c r="D285" s="22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237"/>
      <c r="D286" s="22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237"/>
      <c r="D287" s="22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237"/>
      <c r="D288" s="22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237"/>
      <c r="D289" s="22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237"/>
      <c r="D290" s="22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237"/>
      <c r="D291" s="22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237"/>
      <c r="D292" s="22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237"/>
      <c r="D293" s="22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237"/>
      <c r="D294" s="22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237"/>
      <c r="D295" s="22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237"/>
      <c r="D296" s="22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237"/>
      <c r="D297" s="22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237"/>
      <c r="D298" s="22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237"/>
      <c r="D299" s="22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237"/>
      <c r="D300" s="22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237"/>
      <c r="D301" s="22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237"/>
      <c r="D302" s="22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237"/>
      <c r="D303" s="22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237"/>
      <c r="D304" s="22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237"/>
      <c r="D305" s="22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237"/>
      <c r="D306" s="22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237"/>
      <c r="D307" s="22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237"/>
      <c r="D308" s="22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237"/>
      <c r="D309" s="22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237"/>
      <c r="D310" s="22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237"/>
      <c r="D311" s="22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237"/>
      <c r="D312" s="22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237"/>
      <c r="D313" s="22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237"/>
      <c r="D314" s="22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237"/>
      <c r="D315" s="22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237"/>
      <c r="D316" s="22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237"/>
      <c r="D317" s="22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237"/>
      <c r="D318" s="22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237"/>
      <c r="D319" s="22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237"/>
      <c r="D320" s="22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237"/>
      <c r="D321" s="22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237"/>
      <c r="D322" s="22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237"/>
      <c r="D323" s="22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237"/>
      <c r="D324" s="22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237"/>
      <c r="D325" s="22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237"/>
      <c r="D326" s="22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237"/>
      <c r="D327" s="22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237"/>
      <c r="D328" s="22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237"/>
      <c r="D329" s="22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237"/>
      <c r="D330" s="22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237"/>
      <c r="D331" s="22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237"/>
      <c r="D332" s="22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237"/>
      <c r="D333" s="22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237"/>
      <c r="D334" s="22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237"/>
      <c r="D335" s="22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237"/>
      <c r="D336" s="22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237"/>
      <c r="D337" s="22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237"/>
      <c r="D338" s="22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237"/>
      <c r="D339" s="22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237"/>
      <c r="D340" s="22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237"/>
      <c r="D341" s="22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237"/>
      <c r="D342" s="22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237"/>
      <c r="D343" s="22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237"/>
      <c r="D344" s="22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237"/>
      <c r="D345" s="22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237"/>
      <c r="D346" s="22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237"/>
      <c r="D347" s="22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237"/>
      <c r="D348" s="22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237"/>
      <c r="D349" s="22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237"/>
      <c r="D350" s="22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237"/>
      <c r="D351" s="22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237"/>
      <c r="D352" s="22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237"/>
      <c r="D353" s="22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237"/>
      <c r="D354" s="22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237"/>
      <c r="D355" s="22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237"/>
      <c r="D356" s="22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237"/>
      <c r="D357" s="22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237"/>
      <c r="D358" s="22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237"/>
      <c r="D359" s="22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237"/>
      <c r="D360" s="22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237"/>
      <c r="D361" s="22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237"/>
      <c r="D362" s="22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237"/>
      <c r="D363" s="22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237"/>
      <c r="D364" s="22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237"/>
      <c r="D365" s="22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237"/>
      <c r="D366" s="22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237"/>
      <c r="D367" s="22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237"/>
      <c r="D368" s="22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237"/>
      <c r="D369" s="22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237"/>
      <c r="D370" s="22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237"/>
      <c r="D371" s="22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237"/>
      <c r="D372" s="22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237"/>
      <c r="D373" s="22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237"/>
      <c r="D374" s="22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237"/>
      <c r="D375" s="22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237"/>
      <c r="D376" s="22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237"/>
      <c r="D377" s="22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237"/>
      <c r="D378" s="22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237"/>
      <c r="D379" s="22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237"/>
      <c r="D380" s="22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237"/>
      <c r="D381" s="22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237"/>
      <c r="D382" s="22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237"/>
      <c r="D383" s="22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237"/>
      <c r="D384" s="22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237"/>
      <c r="D385" s="22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237"/>
      <c r="D386" s="22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237"/>
      <c r="D387" s="22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237"/>
      <c r="D388" s="22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237"/>
      <c r="D389" s="22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237"/>
      <c r="D390" s="22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237"/>
      <c r="D391" s="22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237"/>
      <c r="D392" s="22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237"/>
      <c r="D393" s="22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237"/>
      <c r="D394" s="22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237"/>
      <c r="D395" s="22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237"/>
      <c r="D396" s="22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237"/>
      <c r="D397" s="22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237"/>
      <c r="D398" s="22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237"/>
      <c r="D399" s="22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237"/>
      <c r="D400" s="22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237"/>
      <c r="D401" s="22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237"/>
      <c r="D402" s="22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237"/>
      <c r="D403" s="22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237"/>
      <c r="D404" s="22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237"/>
      <c r="D405" s="22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237"/>
      <c r="D406" s="22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237"/>
      <c r="D407" s="22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237"/>
      <c r="D408" s="22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237"/>
      <c r="D409" s="22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237"/>
      <c r="D410" s="22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237"/>
      <c r="D411" s="22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237"/>
      <c r="D412" s="22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237"/>
      <c r="D413" s="22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237"/>
      <c r="D414" s="22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237"/>
      <c r="D415" s="22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237"/>
      <c r="D416" s="22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237"/>
      <c r="D417" s="22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237"/>
      <c r="D418" s="22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237"/>
      <c r="D419" s="22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237"/>
      <c r="D420" s="22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237"/>
      <c r="D421" s="22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237"/>
      <c r="D422" s="22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237"/>
      <c r="D423" s="22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237"/>
      <c r="D424" s="22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237"/>
      <c r="D425" s="22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237"/>
      <c r="D426" s="22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237"/>
      <c r="D427" s="22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237"/>
      <c r="D428" s="22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237"/>
      <c r="D429" s="22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237"/>
      <c r="D430" s="22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237"/>
      <c r="D431" s="22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237"/>
      <c r="D432" s="22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237"/>
      <c r="D433" s="22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237"/>
      <c r="D434" s="22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237"/>
      <c r="D435" s="22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237"/>
      <c r="D436" s="22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237"/>
      <c r="D437" s="22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237"/>
      <c r="D438" s="22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237"/>
      <c r="D439" s="22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237"/>
      <c r="D440" s="22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237"/>
      <c r="D441" s="22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237"/>
      <c r="D442" s="22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237"/>
      <c r="D443" s="22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237"/>
      <c r="D444" s="22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237"/>
      <c r="D445" s="22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237"/>
      <c r="D446" s="22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237"/>
      <c r="D447" s="22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237"/>
      <c r="D448" s="22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237"/>
      <c r="D449" s="22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237"/>
      <c r="D450" s="22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237"/>
      <c r="D451" s="22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237"/>
      <c r="D452" s="22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237"/>
      <c r="D453" s="22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237"/>
      <c r="D454" s="22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237"/>
      <c r="D455" s="22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237"/>
      <c r="D456" s="22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237"/>
      <c r="D457" s="22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237"/>
      <c r="D458" s="22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237"/>
      <c r="D459" s="22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237"/>
      <c r="D460" s="22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237"/>
      <c r="D461" s="22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237"/>
      <c r="D462" s="22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237"/>
      <c r="D463" s="22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237"/>
      <c r="D464" s="22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237"/>
      <c r="D465" s="22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237"/>
      <c r="D466" s="22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237"/>
      <c r="D467" s="22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237"/>
      <c r="D468" s="22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237"/>
      <c r="D469" s="22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237"/>
      <c r="D470" s="22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237"/>
      <c r="D471" s="22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237"/>
      <c r="D472" s="22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237"/>
      <c r="D473" s="22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237"/>
      <c r="D474" s="22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237"/>
      <c r="D475" s="22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237"/>
      <c r="D476" s="22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237"/>
      <c r="D477" s="22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237"/>
      <c r="D478" s="22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237"/>
      <c r="D479" s="22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237"/>
      <c r="D480" s="22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237"/>
      <c r="D481" s="22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237"/>
      <c r="D482" s="22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237"/>
      <c r="D483" s="22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237"/>
      <c r="D484" s="22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237"/>
      <c r="D485" s="22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237"/>
      <c r="D486" s="22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237"/>
      <c r="D487" s="22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237"/>
      <c r="D488" s="22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237"/>
      <c r="D489" s="22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237"/>
      <c r="D490" s="22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237"/>
      <c r="D491" s="22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237"/>
      <c r="D492" s="22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237"/>
      <c r="D493" s="22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237"/>
      <c r="D494" s="22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237"/>
      <c r="D495" s="22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237"/>
      <c r="D496" s="22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237"/>
      <c r="D497" s="22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237"/>
      <c r="D498" s="22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237"/>
      <c r="D499" s="22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237"/>
      <c r="D500" s="22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237"/>
      <c r="D501" s="22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237"/>
      <c r="D502" s="22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237"/>
      <c r="D503" s="22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237"/>
      <c r="D504" s="22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237"/>
      <c r="D505" s="22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237"/>
      <c r="D506" s="22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237"/>
      <c r="D507" s="22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237"/>
      <c r="D508" s="22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237"/>
      <c r="D509" s="22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237"/>
      <c r="D510" s="22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237"/>
      <c r="D511" s="22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237"/>
      <c r="D512" s="22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237"/>
      <c r="D513" s="22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237"/>
      <c r="D514" s="22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237"/>
      <c r="D515" s="22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237"/>
      <c r="D516" s="22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237"/>
      <c r="D517" s="22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237"/>
      <c r="D518" s="22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237"/>
      <c r="D519" s="22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237"/>
      <c r="D520" s="22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237"/>
      <c r="D521" s="22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237"/>
      <c r="D522" s="22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237"/>
      <c r="D523" s="22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237"/>
      <c r="D524" s="22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237"/>
      <c r="D525" s="22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237"/>
      <c r="D526" s="22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237"/>
      <c r="D527" s="22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237"/>
      <c r="D528" s="22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237"/>
      <c r="D529" s="22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237"/>
      <c r="D530" s="22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237"/>
      <c r="D531" s="22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237"/>
      <c r="D532" s="22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237"/>
      <c r="D533" s="22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237"/>
      <c r="D534" s="22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237"/>
      <c r="D535" s="22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237"/>
      <c r="D536" s="22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237"/>
      <c r="D537" s="22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237"/>
      <c r="D538" s="22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237"/>
      <c r="D539" s="22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237"/>
      <c r="D540" s="22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237"/>
      <c r="D541" s="22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237"/>
      <c r="D542" s="22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237"/>
      <c r="D543" s="22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237"/>
      <c r="D544" s="22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237"/>
      <c r="D545" s="22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237"/>
      <c r="D546" s="22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237"/>
      <c r="D547" s="22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237"/>
      <c r="D548" s="22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237"/>
      <c r="D549" s="22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237"/>
      <c r="D550" s="22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237"/>
      <c r="D551" s="22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237"/>
      <c r="D552" s="22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237"/>
      <c r="D553" s="22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237"/>
      <c r="D554" s="22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237"/>
      <c r="D555" s="22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237"/>
      <c r="D556" s="22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237"/>
      <c r="D557" s="22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237"/>
      <c r="D558" s="22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237"/>
      <c r="D559" s="22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237"/>
      <c r="D560" s="22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237"/>
      <c r="D561" s="22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237"/>
      <c r="D562" s="22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237"/>
      <c r="D563" s="22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237"/>
      <c r="D564" s="22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237"/>
      <c r="D565" s="22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237"/>
      <c r="D566" s="22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237"/>
      <c r="D567" s="22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237"/>
      <c r="D568" s="22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237"/>
      <c r="D569" s="22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237"/>
      <c r="D570" s="22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237"/>
      <c r="D571" s="22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237"/>
      <c r="D572" s="22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237"/>
      <c r="D573" s="22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237"/>
      <c r="D574" s="22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237"/>
      <c r="D575" s="22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237"/>
      <c r="D576" s="22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237"/>
      <c r="D577" s="22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237"/>
      <c r="D578" s="22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237"/>
      <c r="D579" s="22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237"/>
      <c r="D580" s="22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237"/>
      <c r="D581" s="22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237"/>
      <c r="D582" s="22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237"/>
      <c r="D583" s="22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237"/>
      <c r="D584" s="22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237"/>
      <c r="D585" s="22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237"/>
      <c r="D586" s="22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237"/>
      <c r="D587" s="22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237"/>
      <c r="D588" s="22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237"/>
      <c r="D589" s="22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237"/>
      <c r="D590" s="22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237"/>
      <c r="D591" s="22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237"/>
      <c r="D592" s="22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237"/>
      <c r="D593" s="22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237"/>
      <c r="D594" s="22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237"/>
      <c r="D595" s="22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237"/>
      <c r="D596" s="22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237"/>
      <c r="D597" s="22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237"/>
      <c r="D598" s="22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237"/>
      <c r="D599" s="22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237"/>
      <c r="D600" s="22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237"/>
      <c r="D601" s="22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237"/>
      <c r="D602" s="22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237"/>
      <c r="D603" s="22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237"/>
      <c r="D604" s="22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237"/>
      <c r="D605" s="22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237"/>
      <c r="D606" s="22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237"/>
      <c r="D607" s="22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237"/>
      <c r="D608" s="22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237"/>
      <c r="D609" s="22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237"/>
      <c r="D610" s="22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237"/>
      <c r="D611" s="22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237"/>
      <c r="D612" s="22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237"/>
      <c r="D613" s="22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237"/>
      <c r="D614" s="22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237"/>
      <c r="D615" s="22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237"/>
      <c r="D616" s="22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237"/>
      <c r="D617" s="22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237"/>
      <c r="D618" s="22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237"/>
      <c r="D619" s="22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237"/>
      <c r="D620" s="22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237"/>
      <c r="D621" s="22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237"/>
      <c r="D622" s="22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237"/>
      <c r="D623" s="22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237"/>
      <c r="D624" s="22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237"/>
      <c r="D625" s="22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237"/>
      <c r="D626" s="22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237"/>
      <c r="D627" s="22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237"/>
      <c r="D628" s="22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237"/>
      <c r="D629" s="22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237"/>
      <c r="D630" s="22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237"/>
      <c r="D631" s="22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237"/>
      <c r="D632" s="22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237"/>
      <c r="D633" s="22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237"/>
      <c r="D634" s="22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237"/>
      <c r="D635" s="22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237"/>
      <c r="D636" s="22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237"/>
      <c r="D637" s="22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237"/>
      <c r="D638" s="22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237"/>
      <c r="D639" s="22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237"/>
      <c r="D640" s="22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237"/>
      <c r="D641" s="22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237"/>
      <c r="D642" s="22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237"/>
      <c r="D643" s="22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237"/>
      <c r="D644" s="22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237"/>
      <c r="D645" s="22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237"/>
      <c r="D646" s="22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237"/>
      <c r="D647" s="22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237"/>
      <c r="D648" s="22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237"/>
      <c r="D649" s="22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237"/>
      <c r="D650" s="22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237"/>
      <c r="D651" s="22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237"/>
      <c r="D652" s="22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237"/>
      <c r="D653" s="22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237"/>
      <c r="D654" s="22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237"/>
      <c r="D655" s="22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237"/>
      <c r="D656" s="22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237"/>
      <c r="D657" s="22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237"/>
      <c r="D658" s="22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237"/>
      <c r="D659" s="22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237"/>
      <c r="D660" s="22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237"/>
      <c r="D661" s="22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237"/>
      <c r="D662" s="22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237"/>
      <c r="D663" s="22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237"/>
      <c r="D664" s="22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237"/>
      <c r="D665" s="22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237"/>
      <c r="D666" s="22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237"/>
      <c r="D667" s="22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237"/>
      <c r="D668" s="22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237"/>
      <c r="D669" s="22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237"/>
      <c r="D670" s="22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237"/>
      <c r="D671" s="22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237"/>
      <c r="D672" s="22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237"/>
      <c r="D673" s="22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237"/>
      <c r="D674" s="22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237"/>
      <c r="D675" s="22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237"/>
      <c r="D676" s="22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237"/>
      <c r="D677" s="22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237"/>
      <c r="D678" s="22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237"/>
      <c r="D679" s="22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237"/>
      <c r="D680" s="22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237"/>
      <c r="D681" s="22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237"/>
      <c r="D682" s="22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237"/>
      <c r="D683" s="22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237"/>
      <c r="D684" s="22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237"/>
      <c r="D685" s="22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237"/>
      <c r="D686" s="22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237"/>
      <c r="D687" s="22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237"/>
      <c r="D688" s="22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237"/>
      <c r="D689" s="22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237"/>
      <c r="D690" s="22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237"/>
      <c r="D691" s="22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237"/>
      <c r="D692" s="22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237"/>
      <c r="D693" s="22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237"/>
      <c r="D694" s="22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237"/>
      <c r="D695" s="22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237"/>
      <c r="D696" s="22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237"/>
      <c r="D697" s="22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237"/>
      <c r="D698" s="22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237"/>
      <c r="D699" s="22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237"/>
      <c r="D700" s="22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237"/>
      <c r="D701" s="22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237"/>
      <c r="D702" s="22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237"/>
      <c r="D703" s="22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237"/>
      <c r="D704" s="22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237"/>
      <c r="D705" s="22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237"/>
      <c r="D706" s="22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237"/>
      <c r="D707" s="22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237"/>
      <c r="D708" s="22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237"/>
      <c r="D709" s="22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237"/>
      <c r="D710" s="22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237"/>
      <c r="D711" s="22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237"/>
      <c r="D712" s="22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237"/>
      <c r="D713" s="22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237"/>
      <c r="D714" s="22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237"/>
      <c r="D715" s="22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237"/>
      <c r="D716" s="22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237"/>
      <c r="D717" s="22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237"/>
      <c r="D718" s="22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237"/>
      <c r="D719" s="22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237"/>
      <c r="D720" s="22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237"/>
      <c r="D721" s="22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237"/>
      <c r="D722" s="22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237"/>
      <c r="D723" s="22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237"/>
      <c r="D724" s="22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237"/>
      <c r="D725" s="22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237"/>
      <c r="D726" s="22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237"/>
      <c r="D727" s="22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237"/>
      <c r="D728" s="22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237"/>
      <c r="D729" s="22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237"/>
      <c r="D730" s="22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237"/>
      <c r="D731" s="22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237"/>
      <c r="D732" s="22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237"/>
      <c r="D733" s="22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237"/>
      <c r="D734" s="22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237"/>
      <c r="D735" s="22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237"/>
      <c r="D736" s="22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237"/>
      <c r="D737" s="22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237"/>
      <c r="D738" s="22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237"/>
      <c r="D739" s="22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237"/>
      <c r="D740" s="22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237"/>
      <c r="D741" s="22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237"/>
      <c r="D742" s="22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237"/>
      <c r="D743" s="22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237"/>
      <c r="D744" s="22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237"/>
      <c r="D745" s="22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237"/>
      <c r="D746" s="22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237"/>
      <c r="D747" s="22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237"/>
      <c r="D748" s="22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237"/>
      <c r="D749" s="22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237"/>
      <c r="D750" s="22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237"/>
      <c r="D751" s="22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237"/>
      <c r="D752" s="22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237"/>
      <c r="D753" s="22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237"/>
      <c r="D754" s="22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237"/>
      <c r="D755" s="22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237"/>
      <c r="D756" s="22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237"/>
      <c r="D757" s="22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237"/>
      <c r="D758" s="22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237"/>
      <c r="D759" s="22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237"/>
      <c r="D760" s="22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237"/>
      <c r="D761" s="22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237"/>
      <c r="D762" s="22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237"/>
      <c r="D763" s="22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237"/>
      <c r="D764" s="22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237"/>
      <c r="D765" s="22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237"/>
      <c r="D766" s="22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237"/>
      <c r="D767" s="22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237"/>
      <c r="D768" s="22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237"/>
      <c r="D769" s="22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237"/>
      <c r="D770" s="22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237"/>
      <c r="D771" s="22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237"/>
      <c r="D772" s="22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237"/>
      <c r="D773" s="22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237"/>
      <c r="D774" s="22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237"/>
      <c r="D775" s="22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237"/>
      <c r="D776" s="22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237"/>
      <c r="D777" s="22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237"/>
      <c r="D778" s="22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237"/>
      <c r="D779" s="22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237"/>
      <c r="D780" s="22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237"/>
      <c r="D781" s="22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237"/>
      <c r="D782" s="22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237"/>
      <c r="D783" s="22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237"/>
      <c r="D784" s="22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237"/>
      <c r="D785" s="22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237"/>
      <c r="D786" s="22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237"/>
      <c r="D787" s="22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237"/>
      <c r="D788" s="22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237"/>
      <c r="D789" s="22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237"/>
      <c r="D790" s="22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237"/>
      <c r="D791" s="22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237"/>
      <c r="D792" s="22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237"/>
      <c r="D793" s="22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237"/>
      <c r="D794" s="22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237"/>
      <c r="D795" s="22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237"/>
      <c r="D796" s="22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237"/>
      <c r="D797" s="22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237"/>
      <c r="D798" s="22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237"/>
      <c r="D799" s="22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237"/>
      <c r="D800" s="22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237"/>
      <c r="D801" s="22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237"/>
      <c r="D802" s="22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237"/>
      <c r="D803" s="22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237"/>
      <c r="D804" s="22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237"/>
      <c r="D805" s="22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237"/>
      <c r="D806" s="22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237"/>
      <c r="D807" s="22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237"/>
      <c r="D808" s="22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237"/>
      <c r="D809" s="22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237"/>
      <c r="D810" s="22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237"/>
      <c r="D811" s="22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237"/>
      <c r="D812" s="22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237"/>
      <c r="D813" s="22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237"/>
      <c r="D814" s="22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237"/>
      <c r="D815" s="22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237"/>
      <c r="D816" s="22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237"/>
      <c r="D817" s="22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237"/>
      <c r="D818" s="22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237"/>
      <c r="D819" s="22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237"/>
      <c r="D820" s="22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237"/>
      <c r="D821" s="22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237"/>
      <c r="D822" s="22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237"/>
      <c r="D823" s="22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237"/>
      <c r="D824" s="22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237"/>
      <c r="D825" s="22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237"/>
      <c r="D826" s="22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237"/>
      <c r="D827" s="22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237"/>
      <c r="D828" s="22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237"/>
      <c r="D829" s="22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237"/>
      <c r="D830" s="22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237"/>
      <c r="D831" s="22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237"/>
      <c r="D832" s="22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237"/>
      <c r="D833" s="22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237"/>
      <c r="D834" s="22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237"/>
      <c r="D835" s="22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237"/>
      <c r="D836" s="22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237"/>
      <c r="D837" s="22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237"/>
      <c r="D838" s="22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237"/>
      <c r="D839" s="22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237"/>
      <c r="D840" s="22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237"/>
      <c r="D841" s="22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237"/>
      <c r="D842" s="22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237"/>
      <c r="D843" s="22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237"/>
      <c r="D844" s="22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237"/>
      <c r="D845" s="22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237"/>
      <c r="D846" s="22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237"/>
      <c r="D847" s="22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237"/>
      <c r="D848" s="22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237"/>
      <c r="D849" s="22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237"/>
      <c r="D850" s="22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237"/>
      <c r="D851" s="22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237"/>
      <c r="D852" s="22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237"/>
      <c r="D853" s="22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237"/>
      <c r="D854" s="22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237"/>
      <c r="D855" s="22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237"/>
      <c r="D856" s="22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237"/>
      <c r="D857" s="22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237"/>
      <c r="D858" s="22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237"/>
      <c r="D859" s="22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237"/>
      <c r="D860" s="22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237"/>
      <c r="D861" s="22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237"/>
      <c r="D862" s="22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237"/>
      <c r="D863" s="22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237"/>
      <c r="D864" s="22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237"/>
      <c r="D865" s="22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237"/>
      <c r="D866" s="22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237"/>
      <c r="D867" s="22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237"/>
      <c r="D868" s="22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237"/>
      <c r="D869" s="22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237"/>
      <c r="D870" s="22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237"/>
      <c r="D871" s="22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237"/>
      <c r="D872" s="22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237"/>
      <c r="D873" s="22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237"/>
      <c r="D874" s="22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237"/>
      <c r="D875" s="22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237"/>
      <c r="D876" s="22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237"/>
      <c r="D877" s="22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237"/>
      <c r="D878" s="22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237"/>
      <c r="D879" s="22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237"/>
      <c r="D880" s="22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237"/>
      <c r="D881" s="22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237"/>
      <c r="D882" s="22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237"/>
      <c r="D883" s="22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237"/>
      <c r="D884" s="22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237"/>
      <c r="D885" s="22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237"/>
      <c r="D886" s="22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237"/>
      <c r="D887" s="22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237"/>
      <c r="D888" s="22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237"/>
      <c r="D889" s="22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237"/>
      <c r="D890" s="22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237"/>
      <c r="D891" s="22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237"/>
      <c r="D892" s="22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237"/>
      <c r="D893" s="22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237"/>
      <c r="D894" s="22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237"/>
      <c r="D895" s="22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237"/>
      <c r="D896" s="22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237"/>
      <c r="D897" s="22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237"/>
      <c r="D898" s="22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237"/>
      <c r="D899" s="22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237"/>
      <c r="D900" s="22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237"/>
      <c r="D901" s="22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237"/>
      <c r="D902" s="22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237"/>
      <c r="D903" s="22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237"/>
      <c r="D904" s="22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237"/>
      <c r="D905" s="22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237"/>
      <c r="D906" s="22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237"/>
      <c r="D907" s="22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237"/>
      <c r="D908" s="22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237"/>
      <c r="D909" s="22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237"/>
      <c r="D910" s="22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237"/>
      <c r="D911" s="22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237"/>
      <c r="D912" s="22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237"/>
      <c r="D913" s="22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237"/>
      <c r="D914" s="22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237"/>
      <c r="D915" s="22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237"/>
      <c r="D916" s="22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237"/>
      <c r="D917" s="22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237"/>
      <c r="D918" s="22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237"/>
      <c r="D919" s="22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237"/>
      <c r="D920" s="22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237"/>
      <c r="D921" s="22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237"/>
      <c r="D922" s="22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237"/>
      <c r="D923" s="22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237"/>
      <c r="D924" s="22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237"/>
      <c r="D925" s="22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237"/>
      <c r="D926" s="22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237"/>
      <c r="D927" s="22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237"/>
      <c r="D928" s="22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237"/>
      <c r="D929" s="22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237"/>
      <c r="D930" s="22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237"/>
      <c r="D931" s="22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237"/>
      <c r="D932" s="22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237"/>
      <c r="D933" s="22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237"/>
      <c r="D934" s="22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237"/>
      <c r="D935" s="22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237"/>
      <c r="D936" s="22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181"/>
      <c r="B937" s="181"/>
      <c r="C937" s="237"/>
      <c r="D937" s="22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181"/>
      <c r="B938" s="181"/>
      <c r="C938" s="237"/>
      <c r="D938" s="22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181"/>
      <c r="B939" s="181"/>
      <c r="C939" s="237"/>
      <c r="D939" s="22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181"/>
      <c r="B940" s="181"/>
      <c r="C940" s="237"/>
      <c r="D940" s="22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181"/>
      <c r="B941" s="181"/>
      <c r="C941" s="237"/>
      <c r="D941" s="22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181"/>
      <c r="B942" s="181"/>
      <c r="C942" s="237"/>
      <c r="D942" s="22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181"/>
      <c r="B943" s="181"/>
      <c r="C943" s="237"/>
      <c r="D943" s="22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181"/>
      <c r="B944" s="181"/>
      <c r="C944" s="237"/>
      <c r="D944" s="22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181"/>
      <c r="B945" s="181"/>
      <c r="C945" s="237"/>
      <c r="D945" s="22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181"/>
      <c r="B946" s="181"/>
      <c r="C946" s="237"/>
      <c r="D946" s="22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181"/>
      <c r="B947" s="181"/>
      <c r="C947" s="237"/>
      <c r="D947" s="22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181"/>
      <c r="B948" s="181"/>
      <c r="C948" s="237"/>
      <c r="D948" s="22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181"/>
      <c r="B949" s="181"/>
      <c r="C949" s="237"/>
      <c r="D949" s="22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181"/>
      <c r="B950" s="181"/>
      <c r="C950" s="237"/>
      <c r="D950" s="22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181"/>
      <c r="B951" s="181"/>
      <c r="C951" s="237"/>
      <c r="D951" s="22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181"/>
      <c r="B952" s="181"/>
      <c r="C952" s="237"/>
      <c r="D952" s="22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181"/>
      <c r="B953" s="181"/>
      <c r="C953" s="237"/>
      <c r="D953" s="22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181"/>
      <c r="B954" s="181"/>
      <c r="C954" s="237"/>
      <c r="D954" s="22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181"/>
      <c r="B955" s="181"/>
      <c r="C955" s="237"/>
      <c r="D955" s="22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181"/>
      <c r="B956" s="181"/>
      <c r="C956" s="237"/>
      <c r="D956" s="22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181"/>
      <c r="B957" s="181"/>
      <c r="C957" s="237"/>
      <c r="D957" s="22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181"/>
      <c r="B958" s="181"/>
      <c r="C958" s="237"/>
      <c r="D958" s="22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181"/>
      <c r="B959" s="181"/>
      <c r="C959" s="237"/>
      <c r="D959" s="22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181"/>
      <c r="B960" s="181"/>
      <c r="C960" s="237"/>
      <c r="D960" s="22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181"/>
      <c r="B961" s="181"/>
      <c r="C961" s="237"/>
      <c r="D961" s="22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181"/>
      <c r="B962" s="181"/>
      <c r="C962" s="237"/>
      <c r="D962" s="22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181"/>
      <c r="B963" s="181"/>
      <c r="C963" s="237"/>
      <c r="D963" s="22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181"/>
      <c r="B964" s="181"/>
      <c r="C964" s="237"/>
      <c r="D964" s="22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181"/>
      <c r="B965" s="181"/>
      <c r="C965" s="237"/>
      <c r="D965" s="22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181"/>
      <c r="B966" s="181"/>
      <c r="C966" s="237"/>
      <c r="D966" s="22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181"/>
      <c r="B967" s="181"/>
      <c r="C967" s="237"/>
      <c r="D967" s="22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181"/>
      <c r="B968" s="181"/>
      <c r="C968" s="237"/>
      <c r="D968" s="22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181"/>
      <c r="B969" s="181"/>
      <c r="C969" s="237"/>
      <c r="D969" s="22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181"/>
      <c r="B970" s="181"/>
      <c r="C970" s="237"/>
      <c r="D970" s="22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>
      <c r="A971" s="181"/>
      <c r="B971" s="181"/>
      <c r="C971" s="237"/>
      <c r="D971" s="22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>
      <c r="A972" s="181"/>
      <c r="B972" s="181"/>
      <c r="C972" s="237"/>
      <c r="D972" s="22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>
      <c r="A973" s="181"/>
      <c r="B973" s="181"/>
      <c r="C973" s="237"/>
      <c r="D973" s="22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>
      <c r="A974" s="181"/>
      <c r="B974" s="181"/>
      <c r="C974" s="237"/>
      <c r="D974" s="22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>
      <c r="A975" s="181"/>
      <c r="B975" s="181"/>
      <c r="C975" s="237"/>
      <c r="D975" s="22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>
      <c r="A976" s="181"/>
      <c r="B976" s="181"/>
      <c r="C976" s="237"/>
      <c r="D976" s="22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>
      <c r="A977" s="181"/>
      <c r="B977" s="181"/>
      <c r="C977" s="237"/>
      <c r="D977" s="22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>
      <c r="A978" s="181"/>
      <c r="B978" s="181"/>
      <c r="C978" s="237"/>
      <c r="D978" s="22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>
      <c r="A979" s="181"/>
      <c r="B979" s="181"/>
      <c r="C979" s="237"/>
      <c r="D979" s="22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>
      <c r="A980" s="181"/>
      <c r="B980" s="181"/>
      <c r="C980" s="237"/>
      <c r="D980" s="22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>
      <c r="A981" s="181"/>
      <c r="B981" s="181"/>
      <c r="C981" s="237"/>
      <c r="D981" s="22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>
      <c r="A982" s="181"/>
      <c r="B982" s="181"/>
      <c r="C982" s="237"/>
      <c r="D982" s="22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>
      <c r="A983" s="181"/>
      <c r="B983" s="181"/>
      <c r="C983" s="237"/>
      <c r="D983" s="22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>
      <c r="A984" s="181"/>
      <c r="B984" s="181"/>
      <c r="C984" s="237"/>
      <c r="D984" s="22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>
      <c r="A985" s="181"/>
      <c r="B985" s="181"/>
      <c r="C985" s="237"/>
      <c r="D985" s="22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>
      <c r="A986" s="181"/>
      <c r="B986" s="181"/>
      <c r="C986" s="237"/>
      <c r="D986" s="22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>
      <c r="A987" s="181"/>
      <c r="B987" s="181"/>
      <c r="C987" s="237"/>
      <c r="D987" s="22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>
      <c r="A988" s="181"/>
      <c r="B988" s="181"/>
      <c r="C988" s="237"/>
      <c r="D988" s="22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>
      <c r="A989" s="181"/>
      <c r="B989" s="181"/>
      <c r="C989" s="237"/>
      <c r="D989" s="22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>
      <c r="A990" s="181"/>
      <c r="B990" s="181"/>
      <c r="C990" s="237"/>
      <c r="D990" s="22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>
      <c r="A991" s="181"/>
      <c r="B991" s="181"/>
      <c r="C991" s="237"/>
      <c r="D991" s="22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>
      <c r="A992" s="181"/>
      <c r="B992" s="181"/>
      <c r="C992" s="237"/>
      <c r="D992" s="22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>
      <c r="A993" s="181"/>
      <c r="B993" s="181"/>
      <c r="C993" s="237"/>
      <c r="D993" s="22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>
      <c r="A994" s="181"/>
      <c r="B994" s="181"/>
      <c r="C994" s="237"/>
      <c r="D994" s="22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>
      <c r="A995" s="181"/>
      <c r="B995" s="181"/>
      <c r="C995" s="237"/>
      <c r="D995" s="22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>
      <c r="A996" s="181"/>
      <c r="B996" s="181"/>
      <c r="C996" s="237"/>
      <c r="D996" s="22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>
      <c r="A997" s="181"/>
      <c r="B997" s="181"/>
      <c r="C997" s="237"/>
      <c r="D997" s="22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>
      <c r="A998" s="181"/>
      <c r="B998" s="181"/>
      <c r="C998" s="237"/>
      <c r="D998" s="22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>
      <c r="A999" s="181"/>
      <c r="B999" s="181"/>
      <c r="C999" s="237"/>
      <c r="D999" s="22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>
      <c r="A1000" s="181"/>
      <c r="B1000" s="181"/>
      <c r="C1000" s="237"/>
      <c r="D1000" s="22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  <row r="1001">
      <c r="A1001" s="181"/>
      <c r="B1001" s="181"/>
      <c r="C1001" s="237"/>
      <c r="D1001" s="221"/>
      <c r="E1001" s="181"/>
      <c r="F1001" s="181"/>
      <c r="G1001" s="181"/>
      <c r="H1001" s="181"/>
      <c r="I1001" s="181"/>
      <c r="J1001" s="181"/>
      <c r="K1001" s="181"/>
      <c r="L1001" s="181"/>
      <c r="M1001" s="181"/>
      <c r="N1001" s="181"/>
      <c r="O1001" s="181"/>
      <c r="P1001" s="181"/>
      <c r="Q1001" s="181"/>
      <c r="R1001" s="181"/>
      <c r="S1001" s="181"/>
      <c r="T1001" s="181"/>
      <c r="U1001" s="181"/>
      <c r="V1001" s="181"/>
      <c r="W1001" s="181"/>
      <c r="X1001" s="181"/>
      <c r="Y1001" s="181"/>
      <c r="Z1001" s="181"/>
    </row>
    <row r="1002">
      <c r="A1002" s="181"/>
      <c r="B1002" s="181"/>
      <c r="C1002" s="237"/>
      <c r="D1002" s="221"/>
      <c r="E1002" s="181"/>
      <c r="F1002" s="181"/>
      <c r="G1002" s="181"/>
      <c r="H1002" s="181"/>
      <c r="I1002" s="181"/>
      <c r="J1002" s="181"/>
      <c r="K1002" s="181"/>
      <c r="L1002" s="181"/>
      <c r="M1002" s="181"/>
      <c r="N1002" s="181"/>
      <c r="O1002" s="181"/>
      <c r="P1002" s="181"/>
      <c r="Q1002" s="181"/>
      <c r="R1002" s="181"/>
      <c r="S1002" s="181"/>
      <c r="T1002" s="181"/>
      <c r="U1002" s="181"/>
      <c r="V1002" s="181"/>
      <c r="W1002" s="181"/>
      <c r="X1002" s="181"/>
      <c r="Y1002" s="181"/>
      <c r="Z1002" s="181"/>
    </row>
    <row r="1003">
      <c r="A1003" s="181"/>
      <c r="B1003" s="181"/>
      <c r="C1003" s="237"/>
      <c r="D1003" s="221"/>
      <c r="E1003" s="181"/>
      <c r="F1003" s="181"/>
      <c r="G1003" s="181"/>
      <c r="H1003" s="181"/>
      <c r="I1003" s="181"/>
      <c r="J1003" s="181"/>
      <c r="K1003" s="181"/>
      <c r="L1003" s="181"/>
      <c r="M1003" s="181"/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  <c r="X1003" s="181"/>
      <c r="Y1003" s="181"/>
      <c r="Z1003" s="181"/>
    </row>
    <row r="1004">
      <c r="A1004" s="181"/>
      <c r="B1004" s="181"/>
      <c r="C1004" s="237"/>
      <c r="D1004" s="221"/>
      <c r="E1004" s="181"/>
      <c r="F1004" s="181"/>
      <c r="G1004" s="181"/>
      <c r="H1004" s="181"/>
      <c r="I1004" s="181"/>
      <c r="J1004" s="181"/>
      <c r="K1004" s="181"/>
      <c r="L1004" s="181"/>
      <c r="M1004" s="181"/>
      <c r="N1004" s="181"/>
      <c r="O1004" s="181"/>
      <c r="P1004" s="181"/>
      <c r="Q1004" s="181"/>
      <c r="R1004" s="181"/>
      <c r="S1004" s="181"/>
      <c r="T1004" s="181"/>
      <c r="U1004" s="181"/>
      <c r="V1004" s="181"/>
      <c r="W1004" s="181"/>
      <c r="X1004" s="181"/>
      <c r="Y1004" s="181"/>
      <c r="Z1004" s="181"/>
    </row>
    <row r="1005">
      <c r="A1005" s="181"/>
      <c r="B1005" s="181"/>
      <c r="C1005" s="237"/>
      <c r="D1005" s="221"/>
      <c r="E1005" s="181"/>
      <c r="F1005" s="181"/>
      <c r="G1005" s="181"/>
      <c r="H1005" s="181"/>
      <c r="I1005" s="181"/>
      <c r="J1005" s="181"/>
      <c r="K1005" s="181"/>
      <c r="L1005" s="181"/>
      <c r="M1005" s="181"/>
      <c r="N1005" s="181"/>
      <c r="O1005" s="181"/>
      <c r="P1005" s="181"/>
      <c r="Q1005" s="181"/>
      <c r="R1005" s="181"/>
      <c r="S1005" s="181"/>
      <c r="T1005" s="181"/>
      <c r="U1005" s="181"/>
      <c r="V1005" s="181"/>
      <c r="W1005" s="181"/>
      <c r="X1005" s="181"/>
      <c r="Y1005" s="181"/>
      <c r="Z1005" s="181"/>
    </row>
    <row r="1006">
      <c r="A1006" s="181"/>
      <c r="B1006" s="181"/>
      <c r="C1006" s="237"/>
      <c r="D1006" s="221"/>
      <c r="E1006" s="181"/>
      <c r="F1006" s="181"/>
      <c r="G1006" s="181"/>
      <c r="H1006" s="181"/>
      <c r="I1006" s="181"/>
      <c r="J1006" s="181"/>
      <c r="K1006" s="181"/>
      <c r="L1006" s="181"/>
      <c r="M1006" s="181"/>
      <c r="N1006" s="181"/>
      <c r="O1006" s="181"/>
      <c r="P1006" s="181"/>
      <c r="Q1006" s="181"/>
      <c r="R1006" s="181"/>
      <c r="S1006" s="181"/>
      <c r="T1006" s="181"/>
      <c r="U1006" s="181"/>
      <c r="V1006" s="181"/>
      <c r="W1006" s="181"/>
      <c r="X1006" s="181"/>
      <c r="Y1006" s="181"/>
      <c r="Z1006" s="181"/>
    </row>
    <row r="1007">
      <c r="A1007" s="181"/>
      <c r="B1007" s="181"/>
      <c r="C1007" s="237"/>
      <c r="D1007" s="221"/>
      <c r="E1007" s="181"/>
      <c r="F1007" s="181"/>
      <c r="G1007" s="181"/>
      <c r="H1007" s="181"/>
      <c r="I1007" s="181"/>
      <c r="J1007" s="181"/>
      <c r="K1007" s="181"/>
      <c r="L1007" s="181"/>
      <c r="M1007" s="181"/>
      <c r="N1007" s="181"/>
      <c r="O1007" s="181"/>
      <c r="P1007" s="181"/>
      <c r="Q1007" s="181"/>
      <c r="R1007" s="181"/>
      <c r="S1007" s="181"/>
      <c r="T1007" s="181"/>
      <c r="U1007" s="181"/>
      <c r="V1007" s="181"/>
      <c r="W1007" s="181"/>
      <c r="X1007" s="181"/>
      <c r="Y1007" s="181"/>
      <c r="Z1007" s="181"/>
    </row>
    <row r="1008">
      <c r="A1008" s="181"/>
      <c r="B1008" s="181"/>
      <c r="C1008" s="237"/>
      <c r="D1008" s="221"/>
      <c r="E1008" s="181"/>
      <c r="F1008" s="181"/>
      <c r="G1008" s="181"/>
      <c r="H1008" s="181"/>
      <c r="I1008" s="181"/>
      <c r="J1008" s="181"/>
      <c r="K1008" s="181"/>
      <c r="L1008" s="181"/>
      <c r="M1008" s="181"/>
      <c r="N1008" s="181"/>
      <c r="O1008" s="181"/>
      <c r="P1008" s="181"/>
      <c r="Q1008" s="181"/>
      <c r="R1008" s="181"/>
      <c r="S1008" s="181"/>
      <c r="T1008" s="181"/>
      <c r="U1008" s="181"/>
      <c r="V1008" s="181"/>
      <c r="W1008" s="181"/>
      <c r="X1008" s="181"/>
      <c r="Y1008" s="181"/>
      <c r="Z1008" s="181"/>
    </row>
    <row r="1009">
      <c r="A1009" s="181"/>
      <c r="B1009" s="181"/>
      <c r="C1009" s="237"/>
      <c r="D1009" s="221"/>
      <c r="E1009" s="181"/>
      <c r="F1009" s="181"/>
      <c r="G1009" s="181"/>
      <c r="H1009" s="181"/>
      <c r="I1009" s="181"/>
      <c r="J1009" s="181"/>
      <c r="K1009" s="181"/>
      <c r="L1009" s="181"/>
      <c r="M1009" s="181"/>
      <c r="N1009" s="181"/>
      <c r="O1009" s="181"/>
      <c r="P1009" s="181"/>
      <c r="Q1009" s="181"/>
      <c r="R1009" s="181"/>
      <c r="S1009" s="181"/>
      <c r="T1009" s="181"/>
      <c r="U1009" s="181"/>
      <c r="V1009" s="181"/>
      <c r="W1009" s="181"/>
      <c r="X1009" s="181"/>
      <c r="Y1009" s="181"/>
      <c r="Z1009" s="181"/>
    </row>
  </sheetData>
  <mergeCells count="39">
    <mergeCell ref="G16:H16"/>
    <mergeCell ref="G18:H18"/>
    <mergeCell ref="A2:A10"/>
    <mergeCell ref="F7:F8"/>
    <mergeCell ref="A11:A16"/>
    <mergeCell ref="G13:H13"/>
    <mergeCell ref="G14:H14"/>
    <mergeCell ref="G15:H15"/>
    <mergeCell ref="F23:H23"/>
    <mergeCell ref="A17:A23"/>
    <mergeCell ref="A24:A29"/>
    <mergeCell ref="A30:A33"/>
    <mergeCell ref="A34:A39"/>
    <mergeCell ref="A40:A49"/>
    <mergeCell ref="A50:A53"/>
    <mergeCell ref="A54:A59"/>
    <mergeCell ref="A60:A62"/>
    <mergeCell ref="A63:A66"/>
    <mergeCell ref="A68:A72"/>
    <mergeCell ref="A73:A75"/>
    <mergeCell ref="A76:A79"/>
    <mergeCell ref="A80:A82"/>
    <mergeCell ref="A83:A86"/>
    <mergeCell ref="A87:A88"/>
    <mergeCell ref="A89:A96"/>
    <mergeCell ref="A97:A104"/>
    <mergeCell ref="A105:A109"/>
    <mergeCell ref="A110:A112"/>
    <mergeCell ref="A113:A116"/>
    <mergeCell ref="A117:A119"/>
    <mergeCell ref="A157:A167"/>
    <mergeCell ref="A168:A172"/>
    <mergeCell ref="A120:A126"/>
    <mergeCell ref="A127:A133"/>
    <mergeCell ref="A134:A136"/>
    <mergeCell ref="A137:A138"/>
    <mergeCell ref="A139:A144"/>
    <mergeCell ref="A145:A151"/>
    <mergeCell ref="A152:A156"/>
  </mergeCells>
  <conditionalFormatting sqref="B2:D503">
    <cfRule type="expression" dxfId="4" priority="1">
      <formula>AND($C2&gt;=200, $C2&lt;500, $D2="Living expense")</formula>
    </cfRule>
  </conditionalFormatting>
  <conditionalFormatting sqref="B2:D503">
    <cfRule type="expression" dxfId="3" priority="2">
      <formula>AND($C2&gt;500, $D2="Living expense")</formula>
    </cfRule>
  </conditionalFormatting>
  <drawing r:id="rId1"/>
</worksheet>
</file>