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605" documentId="8_{0C586AFB-54DC-4688-A370-CFA444316B56}" xr6:coauthVersionLast="47" xr6:coauthVersionMax="47" xr10:uidLastSave="{10A22E2F-3AE8-4A87-B592-3DA53426907A}"/>
  <bookViews>
    <workbookView xWindow="-90" yWindow="-90" windowWidth="19380" windowHeight="10260" activeTab="3" xr2:uid="{9C799078-5C8C-4CA2-A599-9589FA691B16}"/>
  </bookViews>
  <sheets>
    <sheet name="PRICES" sheetId="5" r:id="rId1"/>
    <sheet name="FF" sheetId="3" r:id="rId2"/>
    <sheet name="FFant" sheetId="1" r:id="rId3"/>
    <sheet name="Datos" sheetId="2" r:id="rId4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1" l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N23" i="1"/>
  <c r="AM23" i="1"/>
  <c r="AM22" i="1"/>
  <c r="AL23" i="1"/>
  <c r="AL22" i="1"/>
  <c r="AL21" i="1"/>
  <c r="AK23" i="1"/>
  <c r="AK22" i="1"/>
  <c r="AK21" i="1"/>
  <c r="AK20" i="1"/>
  <c r="AJ23" i="1"/>
  <c r="AJ22" i="1"/>
  <c r="AJ21" i="1"/>
  <c r="AJ20" i="1"/>
  <c r="AJ19" i="1"/>
  <c r="AI23" i="1"/>
  <c r="AI22" i="1"/>
  <c r="AI21" i="1"/>
  <c r="AI20" i="1"/>
  <c r="AI19" i="1"/>
  <c r="AI18" i="1"/>
  <c r="AH23" i="1"/>
  <c r="AH22" i="1"/>
  <c r="AH21" i="1"/>
  <c r="AH20" i="1"/>
  <c r="AH19" i="1"/>
  <c r="AH18" i="1"/>
  <c r="AH17" i="1"/>
  <c r="AG23" i="1"/>
  <c r="AG22" i="1"/>
  <c r="AG21" i="1"/>
  <c r="AG20" i="1"/>
  <c r="AG19" i="1"/>
  <c r="AG18" i="1"/>
  <c r="AG17" i="1"/>
  <c r="AG16" i="1"/>
  <c r="AF23" i="1"/>
  <c r="AF22" i="1"/>
  <c r="AF21" i="1"/>
  <c r="AF20" i="1"/>
  <c r="AF19" i="1"/>
  <c r="AF18" i="1"/>
  <c r="AF17" i="1"/>
  <c r="AF16" i="1"/>
  <c r="AF15" i="1"/>
  <c r="AE23" i="1"/>
  <c r="AE22" i="1"/>
  <c r="AE21" i="1"/>
  <c r="AE20" i="1"/>
  <c r="AE19" i="1"/>
  <c r="AE18" i="1"/>
  <c r="AE17" i="1"/>
  <c r="AE16" i="1"/>
  <c r="AE15" i="1"/>
  <c r="AE14" i="1"/>
  <c r="AD14" i="1"/>
  <c r="X20" i="1"/>
  <c r="X19" i="1"/>
  <c r="W20" i="1"/>
  <c r="W19" i="1"/>
  <c r="W18" i="1"/>
  <c r="V20" i="1"/>
  <c r="V19" i="1"/>
  <c r="V18" i="1"/>
  <c r="V17" i="1"/>
  <c r="U20" i="1"/>
  <c r="U19" i="1"/>
  <c r="U18" i="1"/>
  <c r="U17" i="1"/>
  <c r="U16" i="1"/>
  <c r="T20" i="1"/>
  <c r="T19" i="1"/>
  <c r="T18" i="1"/>
  <c r="T17" i="1"/>
  <c r="T16" i="1"/>
  <c r="T15" i="1"/>
  <c r="S20" i="1"/>
  <c r="S19" i="1"/>
  <c r="S18" i="1"/>
  <c r="S17" i="1"/>
  <c r="S16" i="1"/>
  <c r="S15" i="1"/>
  <c r="S14" i="1"/>
  <c r="R20" i="1"/>
  <c r="R19" i="1"/>
  <c r="R18" i="1"/>
  <c r="R17" i="1"/>
  <c r="R16" i="1"/>
  <c r="R15" i="1"/>
  <c r="R14" i="1"/>
  <c r="R13" i="1"/>
  <c r="Q20" i="1"/>
  <c r="Q19" i="1"/>
  <c r="Q18" i="1"/>
  <c r="Q17" i="1"/>
  <c r="Q16" i="1"/>
  <c r="Q15" i="1"/>
  <c r="Q14" i="1"/>
  <c r="Q13" i="1"/>
  <c r="Q12" i="1"/>
  <c r="P20" i="1"/>
  <c r="P19" i="1"/>
  <c r="P18" i="1"/>
  <c r="P17" i="1"/>
  <c r="P16" i="1"/>
  <c r="P15" i="1"/>
  <c r="P14" i="1"/>
  <c r="P13" i="1"/>
  <c r="P12" i="1"/>
  <c r="P11" i="1"/>
  <c r="O20" i="1"/>
  <c r="O19" i="1"/>
  <c r="O18" i="1"/>
  <c r="O17" i="1"/>
  <c r="O16" i="1"/>
  <c r="O15" i="1"/>
  <c r="O14" i="1"/>
  <c r="O13" i="1"/>
  <c r="O12" i="1"/>
  <c r="O11" i="1"/>
  <c r="O10" i="1"/>
  <c r="H20" i="1"/>
  <c r="H19" i="1"/>
  <c r="H18" i="1"/>
  <c r="L18" i="1" s="1"/>
  <c r="AB21" i="1" s="1"/>
  <c r="H17" i="1"/>
  <c r="H16" i="1"/>
  <c r="H15" i="1"/>
  <c r="M15" i="1" s="1"/>
  <c r="AC18" i="1" s="1"/>
  <c r="H14" i="1"/>
  <c r="H13" i="1"/>
  <c r="H12" i="1"/>
  <c r="H11" i="1"/>
  <c r="H10" i="1"/>
  <c r="H9" i="1"/>
  <c r="H8" i="1"/>
  <c r="H7" i="1"/>
  <c r="L7" i="1" s="1"/>
  <c r="AB4" i="1" a="1"/>
  <c r="AB4" i="1" s="1"/>
  <c r="AB5" i="1" s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A10" i="1" s="1"/>
  <c r="F2" i="1"/>
  <c r="F3" i="1"/>
  <c r="F4" i="1"/>
  <c r="F5" i="1"/>
  <c r="F6" i="1"/>
  <c r="F8" i="1"/>
  <c r="AA11" i="1" s="1"/>
  <c r="F9" i="1"/>
  <c r="AA12" i="1" s="1"/>
  <c r="F10" i="1"/>
  <c r="AA13" i="1" s="1"/>
  <c r="F11" i="1"/>
  <c r="F12" i="1"/>
  <c r="F13" i="1"/>
  <c r="AA16" i="1" s="1"/>
  <c r="F14" i="1"/>
  <c r="AA17" i="1" s="1"/>
  <c r="F15" i="1"/>
  <c r="AA18" i="1" s="1"/>
  <c r="F16" i="1"/>
  <c r="AA19" i="1" s="1"/>
  <c r="F17" i="1"/>
  <c r="AA20" i="1" s="1"/>
  <c r="F18" i="1"/>
  <c r="AA21" i="1" s="1"/>
  <c r="F19" i="1"/>
  <c r="AA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N10" i="1" l="1"/>
  <c r="AD13" i="1" s="1"/>
  <c r="N11" i="1"/>
  <c r="N13" i="1"/>
  <c r="AD16" i="1" s="1"/>
  <c r="N14" i="1"/>
  <c r="AD17" i="1" s="1"/>
  <c r="N16" i="1"/>
  <c r="AD19" i="1" s="1"/>
  <c r="L19" i="1"/>
  <c r="AB22" i="1" s="1"/>
  <c r="J17" i="1"/>
  <c r="N17" i="1"/>
  <c r="AD20" i="1" s="1"/>
  <c r="M11" i="1"/>
  <c r="AC14" i="1" s="1"/>
  <c r="J8" i="1"/>
  <c r="M12" i="1"/>
  <c r="AC15" i="1" s="1"/>
  <c r="N20" i="1"/>
  <c r="AD23" i="1" s="1"/>
  <c r="J20" i="1"/>
  <c r="N9" i="1"/>
  <c r="N12" i="1"/>
  <c r="AD15" i="1" s="1"/>
  <c r="L17" i="1"/>
  <c r="AB20" i="1" s="1"/>
  <c r="N15" i="1"/>
  <c r="AD18" i="1" s="1"/>
  <c r="M16" i="1"/>
  <c r="AC19" i="1" s="1"/>
  <c r="J12" i="1"/>
  <c r="M9" i="1"/>
  <c r="AC12" i="1" s="1"/>
  <c r="J18" i="1"/>
  <c r="J11" i="1"/>
  <c r="N18" i="1"/>
  <c r="AD21" i="1" s="1"/>
  <c r="N19" i="1"/>
  <c r="AD22" i="1" s="1"/>
  <c r="M10" i="1"/>
  <c r="AC13" i="1" s="1"/>
  <c r="M14" i="1"/>
  <c r="AC17" i="1" s="1"/>
  <c r="M13" i="1"/>
  <c r="AC16" i="1" s="1"/>
  <c r="L11" i="1"/>
  <c r="AB14" i="1" s="1"/>
  <c r="J9" i="1"/>
  <c r="L12" i="1"/>
  <c r="AB15" i="1" s="1"/>
  <c r="J19" i="1"/>
  <c r="L8" i="1"/>
  <c r="AB11" i="1" s="1"/>
  <c r="L10" i="1"/>
  <c r="AB13" i="1" s="1"/>
  <c r="M17" i="1"/>
  <c r="AC20" i="1" s="1"/>
  <c r="L20" i="1"/>
  <c r="AB23" i="1" s="1"/>
  <c r="L9" i="1"/>
  <c r="AB12" i="1" s="1"/>
  <c r="M18" i="1"/>
  <c r="AC21" i="1" s="1"/>
  <c r="J7" i="1"/>
  <c r="M19" i="1"/>
  <c r="AC22" i="1" s="1"/>
  <c r="M8" i="1"/>
  <c r="M20" i="1"/>
  <c r="AC23" i="1" s="1"/>
  <c r="J14" i="1"/>
  <c r="J15" i="1"/>
  <c r="L13" i="1"/>
  <c r="AB16" i="1" s="1"/>
  <c r="J16" i="1"/>
  <c r="L14" i="1"/>
  <c r="AB17" i="1" s="1"/>
  <c r="L15" i="1"/>
  <c r="AB18" i="1" s="1"/>
  <c r="L16" i="1"/>
  <c r="AB19" i="1" s="1"/>
  <c r="J10" i="1"/>
  <c r="J13" i="1"/>
  <c r="AD12" i="1"/>
  <c r="AG4" i="1"/>
  <c r="AG5" i="1" s="1"/>
  <c r="AF4" i="1"/>
  <c r="AF5" i="1" s="1"/>
  <c r="AE4" i="1"/>
  <c r="AE5" i="1" s="1"/>
  <c r="AD4" i="1"/>
  <c r="AD5" i="1" s="1"/>
  <c r="AM4" i="1"/>
  <c r="AM5" i="1" s="1"/>
  <c r="AK4" i="1"/>
  <c r="AK5" i="1" s="1"/>
  <c r="AI4" i="1"/>
  <c r="AI5" i="1" s="1"/>
  <c r="AO4" i="1"/>
  <c r="AO5" i="1" s="1"/>
  <c r="AC4" i="1"/>
  <c r="AC5" i="1" s="1"/>
  <c r="AL4" i="1"/>
  <c r="AL5" i="1" s="1"/>
  <c r="AJ4" i="1"/>
  <c r="AJ5" i="1" s="1"/>
  <c r="AH4" i="1"/>
  <c r="AH5" i="1" s="1"/>
  <c r="AN4" i="1"/>
  <c r="AN5" i="1" s="1"/>
  <c r="AB2" i="1" a="1"/>
  <c r="AB2" i="1" s="1"/>
  <c r="AB7" i="1" s="1"/>
  <c r="AE13" i="1"/>
  <c r="AM21" i="1"/>
  <c r="AI17" i="1"/>
  <c r="AK19" i="1"/>
  <c r="AN22" i="1"/>
  <c r="AO23" i="1"/>
  <c r="AH16" i="1"/>
  <c r="AA23" i="1"/>
  <c r="AL20" i="1"/>
  <c r="AB10" i="1"/>
  <c r="AG15" i="1"/>
  <c r="AJ18" i="1"/>
  <c r="AA14" i="1"/>
  <c r="AA15" i="1"/>
  <c r="AC11" i="1"/>
  <c r="AF14" i="1"/>
  <c r="AJ2" i="1"/>
  <c r="AF2" i="1"/>
  <c r="AE2" i="1"/>
  <c r="AL2" i="1"/>
  <c r="AD2" i="1"/>
  <c r="AI2" i="1"/>
  <c r="AO2" i="1"/>
  <c r="AM2" i="1" l="1"/>
  <c r="AK2" i="1"/>
  <c r="AC2" i="1"/>
  <c r="AH2" i="1"/>
  <c r="AN2" i="1"/>
  <c r="AG2" i="1"/>
  <c r="AG3" i="1"/>
  <c r="AG6" i="1" s="1"/>
  <c r="AB3" i="1"/>
  <c r="AN3" i="1"/>
  <c r="AN6" i="1" s="1"/>
  <c r="AN8" i="1" s="1"/>
  <c r="X5" i="1"/>
  <c r="X6" i="1" s="1"/>
  <c r="AL3" i="1"/>
  <c r="AL6" i="1" s="1"/>
  <c r="AL8" i="1" s="1"/>
  <c r="AM3" i="1"/>
  <c r="AM6" i="1" s="1"/>
  <c r="AM8" i="1" s="1"/>
  <c r="AK3" i="1"/>
  <c r="AK6" i="1" s="1"/>
  <c r="AK8" i="1" s="1"/>
  <c r="AC3" i="1"/>
  <c r="AC6" i="1" s="1"/>
  <c r="AC8" i="1" s="1"/>
  <c r="AO3" i="1"/>
  <c r="AO6" i="1" s="1"/>
  <c r="AO8" i="1" s="1"/>
  <c r="AH3" i="1"/>
  <c r="AH6" i="1" s="1"/>
  <c r="AH8" i="1" s="1"/>
  <c r="AD3" i="1"/>
  <c r="AD6" i="1" s="1"/>
  <c r="AD8" i="1" s="1"/>
  <c r="AE3" i="1"/>
  <c r="AE6" i="1" s="1"/>
  <c r="AE8" i="1" s="1"/>
  <c r="AI3" i="1"/>
  <c r="AI6" i="1" s="1"/>
  <c r="AI8" i="1" s="1"/>
  <c r="AF3" i="1"/>
  <c r="AF6" i="1" s="1"/>
  <c r="AF8" i="1" s="1"/>
  <c r="AJ3" i="1"/>
  <c r="AJ6" i="1" s="1"/>
  <c r="AJ8" i="1" s="1"/>
  <c r="AG8" i="1" l="1"/>
  <c r="AB6" i="1"/>
  <c r="Y3" i="1"/>
  <c r="X7" i="1"/>
  <c r="X8" i="1" s="1"/>
  <c r="AB8" i="1" l="1"/>
  <c r="Z6" i="1"/>
  <c r="X11" i="1" l="1"/>
  <c r="Z8" i="1"/>
</calcChain>
</file>

<file path=xl/sharedStrings.xml><?xml version="1.0" encoding="utf-8"?>
<sst xmlns="http://schemas.openxmlformats.org/spreadsheetml/2006/main" count="49" uniqueCount="38">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</sst>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00%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</numFmts>
  <fonts count="4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0" borderId="0" xfId="2" applyNumberFormat="1" applyFon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5" activePane="bottomLeft" state="frozen"/>
      <selection pane="bottomLeft" activeCell="A742" sqref="A742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A2" sqref="A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O23"/>
  <sheetViews>
    <sheetView zoomScaleNormal="100" workbookViewId="0"/>
  </sheetViews>
  <sheetFormatPr baseColWidth="10" defaultRowHeight="14.75" x14ac:dyDescent="0.75"/>
  <cols>
    <col min="11" max="11" width="14.86328125" bestFit="1" customWidth="1"/>
  </cols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34</v>
      </c>
      <c r="L1" t="s">
        <v>33</v>
      </c>
      <c r="W1" t="s">
        <v>6</v>
      </c>
      <c r="X1" s="11">
        <v>45188</v>
      </c>
      <c r="AA1" t="s">
        <v>28</v>
      </c>
      <c r="AB1" s="21">
        <v>0.2</v>
      </c>
    </row>
    <row r="2" spans="1:41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W2" t="s">
        <v>7</v>
      </c>
      <c r="X2" s="12">
        <v>30.68</v>
      </c>
      <c r="AA2" t="s">
        <v>6</v>
      </c>
      <c r="AB2" s="11">
        <f t="array" ref="AB2:AO2">+TRANSPOSE(Z10:Z23)</f>
        <v>45300</v>
      </c>
      <c r="AC2" s="11">
        <v>45482</v>
      </c>
      <c r="AD2" s="11">
        <v>45666</v>
      </c>
      <c r="AE2" s="11">
        <v>45847</v>
      </c>
      <c r="AF2" s="11">
        <v>46031</v>
      </c>
      <c r="AG2" s="11">
        <v>46212</v>
      </c>
      <c r="AH2" s="11">
        <v>46396</v>
      </c>
      <c r="AI2" s="11">
        <v>46577</v>
      </c>
      <c r="AJ2" s="11">
        <v>46761</v>
      </c>
      <c r="AK2" s="11">
        <v>46943</v>
      </c>
      <c r="AL2" s="11">
        <v>47127</v>
      </c>
      <c r="AM2" s="11">
        <v>47308</v>
      </c>
      <c r="AN2" s="11">
        <v>47492</v>
      </c>
      <c r="AO2" s="11">
        <v>47673</v>
      </c>
    </row>
    <row r="3" spans="1:41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W3" t="s">
        <v>14</v>
      </c>
      <c r="X3" s="13">
        <f>44.69%*0+4%</f>
        <v>0.04</v>
      </c>
      <c r="Y3" s="28">
        <f>+Z3-AB3</f>
        <v>1.9945161313136452</v>
      </c>
      <c r="Z3">
        <v>90.851096387317099</v>
      </c>
      <c r="AA3" t="s">
        <v>7</v>
      </c>
      <c r="AB3" s="26">
        <f>+SUMPRODUCT($AA$10:$AA$23,AB$10:AB$23)/10000</f>
        <v>88.856580256003454</v>
      </c>
      <c r="AC3" s="26">
        <f t="shared" ref="AC3:AO3" si="2">+SUMPRODUCT($AA$10:$AA$23,AC$10:AC$23)/10000</f>
        <v>90.851096386455538</v>
      </c>
      <c r="AD3" s="26">
        <f t="shared" si="2"/>
        <v>88.705341827276925</v>
      </c>
      <c r="AE3" s="9">
        <f t="shared" si="2"/>
        <v>82.167696756590487</v>
      </c>
      <c r="AF3" s="9">
        <f t="shared" si="2"/>
        <v>75.419679917879463</v>
      </c>
      <c r="AG3" s="9">
        <f t="shared" si="2"/>
        <v>68.503913026011645</v>
      </c>
      <c r="AH3" s="9">
        <f t="shared" si="2"/>
        <v>61.473792108162414</v>
      </c>
      <c r="AI3" s="9">
        <f t="shared" si="2"/>
        <v>54.295549939296301</v>
      </c>
      <c r="AJ3" s="9">
        <f t="shared" si="2"/>
        <v>47.019005748327928</v>
      </c>
      <c r="AK3" s="9">
        <f t="shared" si="2"/>
        <v>39.382131305578348</v>
      </c>
      <c r="AL3" s="9">
        <f t="shared" si="2"/>
        <v>31.685079457674856</v>
      </c>
      <c r="AM3" s="9">
        <f t="shared" si="2"/>
        <v>23.902807293328763</v>
      </c>
      <c r="AN3" s="9">
        <f t="shared" si="2"/>
        <v>16.038339555722729</v>
      </c>
      <c r="AO3" s="9">
        <f t="shared" si="2"/>
        <v>8.07</v>
      </c>
    </row>
    <row r="4" spans="1:41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AA4" t="s">
        <v>1</v>
      </c>
      <c r="AB4">
        <f t="array" ref="AB4:AO4">+TRANSPOSE(B7:B20)</f>
        <v>100</v>
      </c>
      <c r="AC4">
        <v>100</v>
      </c>
      <c r="AD4">
        <v>96</v>
      </c>
      <c r="AE4">
        <v>88</v>
      </c>
      <c r="AF4">
        <v>80</v>
      </c>
      <c r="AG4">
        <v>72</v>
      </c>
      <c r="AH4">
        <v>64</v>
      </c>
      <c r="AI4">
        <v>56</v>
      </c>
      <c r="AJ4">
        <v>48</v>
      </c>
      <c r="AK4">
        <v>40</v>
      </c>
      <c r="AL4">
        <v>32</v>
      </c>
      <c r="AM4">
        <v>24</v>
      </c>
      <c r="AN4">
        <v>16</v>
      </c>
      <c r="AO4">
        <v>8</v>
      </c>
    </row>
    <row r="5" spans="1:41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W5" t="s">
        <v>19</v>
      </c>
      <c r="X5" s="15">
        <f>+SUM(J7:J20)</f>
        <v>874113.63501179824</v>
      </c>
      <c r="AA5" t="s">
        <v>28</v>
      </c>
      <c r="AB5">
        <f>+AB4*$AB$1</f>
        <v>20</v>
      </c>
      <c r="AC5">
        <f t="shared" ref="AC5:AO5" si="3">+AC4*$AB$1</f>
        <v>20</v>
      </c>
      <c r="AD5">
        <f t="shared" si="3"/>
        <v>19.200000000000003</v>
      </c>
      <c r="AE5">
        <f t="shared" si="3"/>
        <v>17.600000000000001</v>
      </c>
      <c r="AF5">
        <f t="shared" si="3"/>
        <v>16</v>
      </c>
      <c r="AG5">
        <f t="shared" si="3"/>
        <v>14.4</v>
      </c>
      <c r="AH5">
        <f t="shared" si="3"/>
        <v>12.8</v>
      </c>
      <c r="AI5">
        <f t="shared" si="3"/>
        <v>11.200000000000001</v>
      </c>
      <c r="AJ5">
        <f t="shared" si="3"/>
        <v>9.6000000000000014</v>
      </c>
      <c r="AK5">
        <f t="shared" si="3"/>
        <v>8</v>
      </c>
      <c r="AL5">
        <f t="shared" si="3"/>
        <v>6.4</v>
      </c>
      <c r="AM5">
        <f t="shared" si="3"/>
        <v>4.8000000000000007</v>
      </c>
      <c r="AN5">
        <f t="shared" si="3"/>
        <v>3.2</v>
      </c>
      <c r="AO5">
        <f t="shared" si="3"/>
        <v>1.6</v>
      </c>
    </row>
    <row r="6" spans="1:41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W6" t="s">
        <v>20</v>
      </c>
      <c r="X6" s="12">
        <f>+X5/10000</f>
        <v>87.411363501179821</v>
      </c>
      <c r="Z6" s="23">
        <f>+SUM(AB6:AO6)</f>
        <v>611.57101357830891</v>
      </c>
      <c r="AA6" t="s">
        <v>29</v>
      </c>
      <c r="AB6" s="20">
        <f t="shared" ref="AB6:AO6" si="4">+AB3-AB5</f>
        <v>68.856580256003454</v>
      </c>
      <c r="AC6" s="20">
        <f t="shared" si="4"/>
        <v>70.851096386455538</v>
      </c>
      <c r="AD6" s="20">
        <f t="shared" si="4"/>
        <v>69.505341827276922</v>
      </c>
      <c r="AE6" s="20">
        <f t="shared" si="4"/>
        <v>64.567696756590493</v>
      </c>
      <c r="AF6" s="20">
        <f t="shared" si="4"/>
        <v>59.419679917879463</v>
      </c>
      <c r="AG6" s="20">
        <f t="shared" si="4"/>
        <v>54.103913026011647</v>
      </c>
      <c r="AH6" s="20">
        <f t="shared" si="4"/>
        <v>48.673792108162417</v>
      </c>
      <c r="AI6" s="20">
        <f t="shared" si="4"/>
        <v>43.095549939296298</v>
      </c>
      <c r="AJ6" s="20">
        <f t="shared" si="4"/>
        <v>37.419005748327926</v>
      </c>
      <c r="AK6" s="20">
        <f t="shared" si="4"/>
        <v>31.382131305578348</v>
      </c>
      <c r="AL6" s="20">
        <f t="shared" si="4"/>
        <v>25.285079457674854</v>
      </c>
      <c r="AM6" s="20">
        <f t="shared" si="4"/>
        <v>19.102807293328762</v>
      </c>
      <c r="AN6" s="20">
        <f t="shared" si="4"/>
        <v>12.83833955572273</v>
      </c>
      <c r="AO6" s="20">
        <f t="shared" si="4"/>
        <v>6.4700000000000006</v>
      </c>
    </row>
    <row r="7" spans="1:41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+A7-$X$1</f>
        <v>112</v>
      </c>
      <c r="I7" s="9">
        <f>+YEARFRAC($X$1,A7,0)</f>
        <v>0.30555555555555558</v>
      </c>
      <c r="J7" s="9">
        <f>+F7/(1+K7/100)^I7</f>
        <v>3688.7745908029106</v>
      </c>
      <c r="K7" s="9">
        <v>5.5351710299999999</v>
      </c>
      <c r="L7" t="e">
        <f>+(((1+K7/100)^(H7/365)/(1+$K$7/100)^($H$7/365))^(365/(H7-$H$7))-1)*100</f>
        <v>#DIV/0!</v>
      </c>
      <c r="W7" t="s">
        <v>21</v>
      </c>
      <c r="X7" s="12">
        <f>+X2-X6</f>
        <v>-56.731363501179821</v>
      </c>
      <c r="AA7" t="s">
        <v>30</v>
      </c>
      <c r="AB7" s="25">
        <f>+(1+$K$7/100)^-YEARFRAC(AB$2,$X$1)</f>
        <v>0.98367322421410941</v>
      </c>
      <c r="AC7" s="25">
        <f>+(1+$K$8/100)^-YEARFRAC(AC$2,$X$1)</f>
        <v>0.95794707249450151</v>
      </c>
      <c r="AD7" s="25">
        <f>+(1+$K$9/100)^-YEARFRAC(AD$2,$X$1)</f>
        <v>0.93407357792337098</v>
      </c>
      <c r="AE7" s="25">
        <f>+(1+$K$10/100)^-YEARFRAC(AE$2,$X$1)</f>
        <v>0.91316131924595789</v>
      </c>
      <c r="AF7" s="25">
        <f>+(1+$K$11/100)^-YEARFRAC(AF$2,$X$1)</f>
        <v>0.89418545573138519</v>
      </c>
      <c r="AG7" s="25">
        <f>+(1+$K$12/100)^-YEARFRAC(AG$2,$X$1)</f>
        <v>0.87594242787053134</v>
      </c>
      <c r="AH7" s="25">
        <f>+(1+$K$13/100)^-YEARFRAC(AH$2,$X$1)</f>
        <v>0.85843829963845064</v>
      </c>
      <c r="AI7" s="25">
        <f>+(1+$K$14/100)^-YEARFRAC(AI$2,$X$1)</f>
        <v>0.84149175605565185</v>
      </c>
      <c r="AJ7" s="25">
        <f>+(1+$K$15/100)^-YEARFRAC(AJ$2,$X$1)</f>
        <v>0.82493740269366544</v>
      </c>
      <c r="AK7" s="25">
        <f>+(1+$K$16/100)^-YEARFRAC(AK$2,$X$1)</f>
        <v>0.80848278291590814</v>
      </c>
      <c r="AL7" s="25">
        <f>+(1+$K$17/100)^-YEARFRAC(AL$2,$X$1)</f>
        <v>0.79196450639116922</v>
      </c>
      <c r="AM7" s="25">
        <f>+(1+$K$18/100)^-YEARFRAC(AM$2,$X$1)</f>
        <v>0.77533308453965977</v>
      </c>
      <c r="AN7" s="25">
        <f>+(1+$K$19/100)^-YEARFRAC(AN$2,$X$1)</f>
        <v>0.75876560315341157</v>
      </c>
      <c r="AO7" s="25">
        <f>+(1+$K$20/100)^-YEARFRAC(AO$2,$X$1)</f>
        <v>0.7424919104329113</v>
      </c>
    </row>
    <row r="8" spans="1:41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+A8-$X$1</f>
        <v>294</v>
      </c>
      <c r="I8" s="9">
        <f>+YEARFRAC($X$1,A8,0)</f>
        <v>0.80555555555555558</v>
      </c>
      <c r="J8" s="9">
        <f t="shared" ref="J8:J20" si="7">+F8/(1+K8/100)^I8</f>
        <v>41910.18442163444</v>
      </c>
      <c r="K8" s="9">
        <v>5.4780901999999996</v>
      </c>
      <c r="L8" s="26">
        <f t="shared" ref="L8:L20" si="8">+(((1+K8/100)^(H8/365)/(1+$K$7/100)^($H$7/365))^(365/(H8-$H$7))-1)*100</f>
        <v>5.4429788817679459</v>
      </c>
      <c r="M8" s="26" t="e">
        <f>+(((1+K8/100)^(H8/365)/(1+$K$8/100)^($H$8/365))^(365/(H8-$H$8))-1)*100</f>
        <v>#DIV/0!</v>
      </c>
      <c r="N8" s="26"/>
      <c r="O8" s="26"/>
      <c r="P8" s="26"/>
      <c r="Q8" s="26"/>
      <c r="R8" s="26"/>
      <c r="S8" s="26"/>
      <c r="T8" s="26"/>
      <c r="U8" s="26"/>
      <c r="V8" s="26"/>
      <c r="W8" t="s">
        <v>22</v>
      </c>
      <c r="X8" s="16">
        <f>+X7/X2</f>
        <v>-1.8491317959967348</v>
      </c>
      <c r="Z8" s="23">
        <f>+SUM(AB8:AO8)</f>
        <v>543.68131233851648</v>
      </c>
      <c r="AA8" t="s">
        <v>31</v>
      </c>
      <c r="AB8" s="23">
        <f>+AB7*AB6</f>
        <v>67.732374308780507</v>
      </c>
      <c r="AC8" s="23">
        <f t="shared" ref="AC8:AO8" si="9">+AC7*AC6</f>
        <v>67.87160036643084</v>
      </c>
      <c r="AD8" s="23">
        <f t="shared" si="9"/>
        <v>64.92310332539148</v>
      </c>
      <c r="AE8" s="23">
        <f t="shared" si="9"/>
        <v>58.960723150921133</v>
      </c>
      <c r="AF8" s="23">
        <f t="shared" si="9"/>
        <v>53.132213566782085</v>
      </c>
      <c r="AG8" s="23">
        <f t="shared" si="9"/>
        <v>47.391912933300709</v>
      </c>
      <c r="AH8" s="23">
        <f t="shared" si="9"/>
        <v>41.783447334286386</v>
      </c>
      <c r="AI8" s="23">
        <f t="shared" si="9"/>
        <v>36.264549996602483</v>
      </c>
      <c r="AJ8" s="23">
        <f t="shared" si="9"/>
        <v>30.868337413404976</v>
      </c>
      <c r="AK8" s="23">
        <f t="shared" si="9"/>
        <v>25.371912851766425</v>
      </c>
      <c r="AL8" s="23">
        <f t="shared" si="9"/>
        <v>20.02488547175896</v>
      </c>
      <c r="AM8" s="23">
        <f t="shared" si="9"/>
        <v>14.811038502103299</v>
      </c>
      <c r="AN8" s="23">
        <f t="shared" si="9"/>
        <v>9.7412904564862597</v>
      </c>
      <c r="AO8" s="23">
        <f t="shared" si="9"/>
        <v>4.8039226605009366</v>
      </c>
    </row>
    <row r="9" spans="1:41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+YEARFRAC($X$1,A9,0)</f>
        <v>1.3055555555555556</v>
      </c>
      <c r="J9" s="9">
        <f t="shared" si="7"/>
        <v>78088.55111439382</v>
      </c>
      <c r="K9" s="9">
        <v>5.3626843400000004</v>
      </c>
      <c r="L9" s="26">
        <f t="shared" si="8"/>
        <v>5.3099578826998561</v>
      </c>
      <c r="M9" s="26">
        <f t="shared" ref="M9:M20" si="12">+(((1+K9/100)^(H9/365)/(1+$K$8/100)^($H$8/365))^(365/(H9-$H$8))-1)*100</f>
        <v>5.1785478505568916</v>
      </c>
      <c r="N9" s="26" t="e">
        <f>+(((1+K9/100)^(H9/365)/(1+$K$9/100)^($H$9/365))^(365/(H9-$H$9))-1)*100</f>
        <v>#DIV/0!</v>
      </c>
      <c r="O9" s="26"/>
      <c r="P9" s="26"/>
      <c r="Q9" s="26"/>
      <c r="R9" s="26"/>
      <c r="S9" s="26"/>
      <c r="T9" s="26"/>
      <c r="U9" s="26"/>
      <c r="V9" s="26"/>
      <c r="Z9" t="s">
        <v>26</v>
      </c>
      <c r="AA9" t="s">
        <v>3</v>
      </c>
      <c r="AB9" t="s">
        <v>27</v>
      </c>
    </row>
    <row r="10" spans="1:41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9">
        <f t="shared" si="7"/>
        <v>76066.337893188291</v>
      </c>
      <c r="K10" s="9">
        <v>5.1600082699999996</v>
      </c>
      <c r="L10" s="26">
        <f t="shared" si="8"/>
        <v>5.0833571404693689</v>
      </c>
      <c r="M10" s="26">
        <f t="shared" si="12"/>
        <v>4.9044974294241594</v>
      </c>
      <c r="N10" s="26">
        <f t="shared" ref="N10:N20" si="13">+(((1+K10/100)^(H10/365)/(1+$K$9/100)^($H$9/365))^(365/(H10-$H$9))-1)*100</f>
        <v>4.6266366349654975</v>
      </c>
      <c r="O10" s="26" t="e">
        <f>+(((1+K10/100)^(H10/365)/(1+$K$10/100)^($H$10/365))^(365/(H10-$H$10))-1)*100</f>
        <v>#DIV/0!</v>
      </c>
      <c r="P10" s="26"/>
      <c r="Q10" s="26"/>
      <c r="R10" s="26"/>
      <c r="S10" s="26"/>
      <c r="T10" s="26"/>
      <c r="U10" s="26"/>
      <c r="V10" s="26"/>
      <c r="W10" t="s">
        <v>25</v>
      </c>
      <c r="X10" s="12">
        <f>+X6-X2</f>
        <v>56.731363501179821</v>
      </c>
      <c r="Z10" s="11">
        <f t="shared" ref="Z10:Z23" si="14">+A7</f>
        <v>45300</v>
      </c>
      <c r="AA10" s="15">
        <f t="shared" ref="AA10:AA23" si="15">+F7</f>
        <v>3750</v>
      </c>
      <c r="AB10" s="13">
        <f>+(1+$X$3)^-YEARFRAC($Z10,$Z$10)</f>
        <v>1</v>
      </c>
      <c r="AC10" s="13"/>
    </row>
    <row r="11" spans="1:41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9">
        <f t="shared" si="7"/>
        <v>74217.39282570497</v>
      </c>
      <c r="K11" s="9">
        <v>4.9705677799999997</v>
      </c>
      <c r="L11" s="26">
        <f t="shared" si="8"/>
        <v>4.8843294764046252</v>
      </c>
      <c r="M11" s="26">
        <f t="shared" si="12"/>
        <v>4.699784600691026</v>
      </c>
      <c r="N11" s="26">
        <f t="shared" si="13"/>
        <v>4.4592622852936969</v>
      </c>
      <c r="O11" s="26">
        <f t="shared" ref="O11:O20" si="16">+(((1+K11/100)^(H11/365)/(1+$K$10/100)^($H$10/365))^(365/(H11-$H$10))-1)*100</f>
        <v>4.2948781085087262</v>
      </c>
      <c r="P11" s="26" t="e">
        <f>+(((1+K11/100)^(H11/365)/(1+$K$11/100)^($H$11/365))^(365/(H11-$H$11))-1)*100</f>
        <v>#DIV/0!</v>
      </c>
      <c r="Q11" s="26"/>
      <c r="R11" s="26"/>
      <c r="S11" s="26"/>
      <c r="T11" s="26"/>
      <c r="U11" s="26"/>
      <c r="V11" s="26"/>
      <c r="W11" t="s">
        <v>32</v>
      </c>
      <c r="X11" s="22">
        <f>+X10/SUM(AB8:AO8)*2</f>
        <v>0.20869344674424542</v>
      </c>
      <c r="Z11" s="11">
        <f t="shared" si="14"/>
        <v>45482</v>
      </c>
      <c r="AA11" s="15">
        <f t="shared" si="15"/>
        <v>43750</v>
      </c>
      <c r="AB11" s="27">
        <f t="shared" ref="AB11:AB23" si="17">+(1+L8/100)^-((H8-$H$7)/365)</f>
        <v>0.97391868425700878</v>
      </c>
      <c r="AC11" s="13">
        <f>+(1+$X$3)^-YEARFRAC($Z11,$Z$11)</f>
        <v>1</v>
      </c>
    </row>
    <row r="12" spans="1:41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9">
        <f t="shared" si="7"/>
        <v>72440.438784892947</v>
      </c>
      <c r="K12" s="9">
        <v>4.8343869399999999</v>
      </c>
      <c r="L12" s="26">
        <f t="shared" si="8"/>
        <v>4.7486471868301461</v>
      </c>
      <c r="M12" s="26">
        <f t="shared" si="12"/>
        <v>4.5762530533879575</v>
      </c>
      <c r="N12" s="26">
        <f t="shared" si="13"/>
        <v>4.3740598904487893</v>
      </c>
      <c r="O12" s="26">
        <f t="shared" si="16"/>
        <v>4.2490357483834007</v>
      </c>
      <c r="P12" s="26">
        <f t="shared" ref="P12:P20" si="18">+(((1+K12/100)^(H12/365)/(1+$K$11/100)^($H$11/365))^(365/(H12-$H$11))-1)*100</f>
        <v>4.2024542236241746</v>
      </c>
      <c r="Q12" s="26" t="e">
        <f>+(((1+K12/100)^(H12/365)/(1+$K$12/100)^($H$12/365))^(365/(H12-$H$12))-1)*100</f>
        <v>#DIV/0!</v>
      </c>
      <c r="R12" s="26"/>
      <c r="S12" s="26"/>
      <c r="T12" s="26"/>
      <c r="U12" s="26"/>
      <c r="V12" s="26"/>
      <c r="Z12" s="11">
        <f t="shared" si="14"/>
        <v>45666</v>
      </c>
      <c r="AA12" s="15">
        <f t="shared" si="15"/>
        <v>83600</v>
      </c>
      <c r="AB12" s="27">
        <f t="shared" si="17"/>
        <v>0.94944322717756691</v>
      </c>
      <c r="AC12" s="27">
        <f t="shared" ref="AC12:AC23" si="19">+(1+M9/100)^-((H9-$H$8)/365)</f>
        <v>0.97486909587517168</v>
      </c>
      <c r="AD12" s="13">
        <f>+(1+$X$3)^-YEARFRAC($Z12,$Z$12)</f>
        <v>1</v>
      </c>
    </row>
    <row r="13" spans="1:41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9">
        <f t="shared" si="7"/>
        <v>70735.315890208323</v>
      </c>
      <c r="K13" s="9">
        <v>4.7259706399999999</v>
      </c>
      <c r="L13" s="26">
        <f t="shared" si="8"/>
        <v>4.643628854920534</v>
      </c>
      <c r="M13" s="26">
        <f t="shared" si="12"/>
        <v>4.4851834308631044</v>
      </c>
      <c r="N13" s="26">
        <f t="shared" si="13"/>
        <v>4.3111400407220835</v>
      </c>
      <c r="O13" s="26">
        <f t="shared" si="16"/>
        <v>4.207332532597996</v>
      </c>
      <c r="P13" s="26">
        <f t="shared" si="18"/>
        <v>4.1632278320903771</v>
      </c>
      <c r="Q13" s="26">
        <f t="shared" ref="Q13:Q20" si="20">+(((1+K13/100)^(H13/365)/(1+$K$12/100)^($H$12/365))^(365/(H13-$H$12))-1)*100</f>
        <v>4.1246554086828757</v>
      </c>
      <c r="R13" s="26" t="e">
        <f>+(((1+K13/100)^(H13/365)/(1+$K$13/100)^($H$13/365))^(365/(H13-$H$13))-1)*100</f>
        <v>#DIV/0!</v>
      </c>
      <c r="S13" s="26"/>
      <c r="T13" s="26"/>
      <c r="U13" s="26"/>
      <c r="V13" s="26"/>
      <c r="Z13" s="11">
        <f t="shared" si="14"/>
        <v>45847</v>
      </c>
      <c r="AA13" s="15">
        <f t="shared" si="15"/>
        <v>83300</v>
      </c>
      <c r="AB13" s="27">
        <f t="shared" si="17"/>
        <v>0.92838601596869119</v>
      </c>
      <c r="AC13" s="27">
        <f t="shared" si="19"/>
        <v>0.95324797744993039</v>
      </c>
      <c r="AD13" s="27">
        <f>+(1+N10/100)^-((H10-$H$9)/365)</f>
        <v>0.97782151622538471</v>
      </c>
      <c r="AE13" s="13">
        <f t="shared" ref="AE13" si="21">+(1+$X$3)^-YEARFRAC($Z13,$Z$13)</f>
        <v>1</v>
      </c>
    </row>
    <row r="14" spans="1:41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9">
        <f t="shared" si="7"/>
        <v>69086.473172169019</v>
      </c>
      <c r="K14" s="9">
        <v>4.6393241200000004</v>
      </c>
      <c r="L14" s="26">
        <f t="shared" si="8"/>
        <v>4.561117031462425</v>
      </c>
      <c r="M14" s="26">
        <f t="shared" si="12"/>
        <v>4.4152592058345652</v>
      </c>
      <c r="N14" s="26">
        <f t="shared" si="13"/>
        <v>4.261767016018303</v>
      </c>
      <c r="O14" s="26">
        <f t="shared" si="16"/>
        <v>4.1714963743308742</v>
      </c>
      <c r="P14" s="26">
        <f t="shared" si="18"/>
        <v>4.1299500729113925</v>
      </c>
      <c r="Q14" s="26">
        <f t="shared" si="20"/>
        <v>4.094014673277302</v>
      </c>
      <c r="R14" s="26">
        <f t="shared" ref="R14:R20" si="22">+(((1+K14/100)^(H14/365)/(1+$K$13/100)^($H$13/365))^(365/(H14-$H$13))-1)*100</f>
        <v>4.0628753224142278</v>
      </c>
      <c r="S14" s="26" t="e">
        <f>+(((1+K14/100)^(H14/365)/(1+$K$14/100)^($H$14/365))^(365/(H14-$H$14))-1)*100</f>
        <v>#DIV/0!</v>
      </c>
      <c r="T14" s="26"/>
      <c r="U14" s="26"/>
      <c r="V14" s="26"/>
      <c r="X14" s="24"/>
      <c r="Z14" s="11">
        <f t="shared" si="14"/>
        <v>46031</v>
      </c>
      <c r="AA14" s="15">
        <f t="shared" si="15"/>
        <v>83000</v>
      </c>
      <c r="AB14" s="27">
        <f t="shared" si="17"/>
        <v>0.90891243763956242</v>
      </c>
      <c r="AC14" s="27">
        <f t="shared" si="19"/>
        <v>0.93325290122446036</v>
      </c>
      <c r="AD14" s="27">
        <f>+(1+N11/100)^-(($H11-$H$9)/365)</f>
        <v>0.95731099198159386</v>
      </c>
      <c r="AE14" s="27">
        <f>+(1+O11/100)^-(($H11-$H$10)/365)</f>
        <v>0.97902426577504031</v>
      </c>
      <c r="AF14" s="13">
        <f t="shared" ref="AF14" si="23">+(1+$X$3)^-YEARFRAC($Z14,$Z$14)</f>
        <v>1</v>
      </c>
    </row>
    <row r="15" spans="1:41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9">
        <f t="shared" si="7"/>
        <v>69459.729306806636</v>
      </c>
      <c r="K15" s="9">
        <v>4.5711533299999996</v>
      </c>
      <c r="L15" s="26">
        <f t="shared" si="8"/>
        <v>4.4976163343802833</v>
      </c>
      <c r="M15" s="26">
        <f t="shared" si="12"/>
        <v>4.3637831314438325</v>
      </c>
      <c r="N15" s="26">
        <f t="shared" si="13"/>
        <v>4.2274936254728335</v>
      </c>
      <c r="O15" s="26">
        <f t="shared" si="16"/>
        <v>4.148631894552568</v>
      </c>
      <c r="P15" s="26">
        <f t="shared" si="18"/>
        <v>4.111802205426307</v>
      </c>
      <c r="Q15" s="26">
        <f t="shared" si="20"/>
        <v>4.0819323999029322</v>
      </c>
      <c r="R15" s="26">
        <f t="shared" si="22"/>
        <v>4.0604019677131342</v>
      </c>
      <c r="S15" s="26">
        <f t="shared" ref="S15:S20" si="24">+(((1+K15/100)^(H15/365)/(1+$K$14/100)^($H$14/365))^(365/(H15-$H$14))-1)*100</f>
        <v>4.0579689968039068</v>
      </c>
      <c r="T15" s="26" t="e">
        <f>+(((1+K15/100)^(H15/365)/(1+$K$15/100)^($H$15/365))^(365/(H15-$H$15))-1)*100</f>
        <v>#DIV/0!</v>
      </c>
      <c r="U15" s="26"/>
      <c r="V15" s="26"/>
      <c r="Z15" s="11">
        <f t="shared" si="14"/>
        <v>46212</v>
      </c>
      <c r="AA15" s="15">
        <f t="shared" si="15"/>
        <v>82700</v>
      </c>
      <c r="AB15" s="27">
        <f t="shared" si="17"/>
        <v>0.89054638184803325</v>
      </c>
      <c r="AC15" s="27">
        <f t="shared" si="19"/>
        <v>0.91439500673243634</v>
      </c>
      <c r="AD15" s="27">
        <f t="shared" ref="AD15:AD23" si="25">+(1+N12/100)^-((H12-$H$9)/365)</f>
        <v>0.93796696459185058</v>
      </c>
      <c r="AE15" s="27">
        <f t="shared" ref="AE15:AE23" si="26">+(1+O12/100)^-(($H12-$H$10)/365)</f>
        <v>0.95924148633241157</v>
      </c>
      <c r="AF15" s="27">
        <f>+(1+P12/100)^-(($H12-$H$11)/365)</f>
        <v>0.97979337169240877</v>
      </c>
      <c r="AG15" s="13">
        <f t="shared" ref="AG15" si="27">+(1+$X$3)^-YEARFRAC($Z15,$Z$15)</f>
        <v>1</v>
      </c>
    </row>
    <row r="16" spans="1:41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9">
        <f t="shared" si="7"/>
        <v>67508.312373478329</v>
      </c>
      <c r="K16" s="9">
        <v>4.5232771300000003</v>
      </c>
      <c r="L16" s="26">
        <f t="shared" si="8"/>
        <v>4.4546526525185648</v>
      </c>
      <c r="M16" s="26">
        <f t="shared" si="12"/>
        <v>4.3321853274355338</v>
      </c>
      <c r="N16" s="26">
        <f t="shared" si="13"/>
        <v>4.2107975476220361</v>
      </c>
      <c r="O16" s="26">
        <f t="shared" si="16"/>
        <v>4.1422825788048456</v>
      </c>
      <c r="P16" s="26">
        <f t="shared" si="18"/>
        <v>4.1115228382808899</v>
      </c>
      <c r="Q16" s="26">
        <f t="shared" si="20"/>
        <v>4.0890199388937898</v>
      </c>
      <c r="R16" s="26">
        <f t="shared" si="22"/>
        <v>4.0770356118608575</v>
      </c>
      <c r="S16" s="26">
        <f t="shared" si="24"/>
        <v>4.0840390900061418</v>
      </c>
      <c r="T16" s="26">
        <f t="shared" ref="T16:T20" si="28">+(((1+K16/100)^(H16/365)/(1+$K$15/100)^($H$15/365))^(365/(H16-$H$15))-1)*100</f>
        <v>4.1104023072640494</v>
      </c>
      <c r="U16" s="26" t="e">
        <f>+(((1+K16/100)^(H16/365)/(1+$K$16/100)^($H$16/365))^(365/(H16-$H$16))-1)*100</f>
        <v>#DIV/0!</v>
      </c>
      <c r="V16" s="26"/>
      <c r="Z16" s="11">
        <f t="shared" si="14"/>
        <v>46396</v>
      </c>
      <c r="AA16" s="15">
        <f t="shared" si="15"/>
        <v>82400</v>
      </c>
      <c r="AB16" s="27">
        <f t="shared" si="17"/>
        <v>0.87258474661011476</v>
      </c>
      <c r="AC16" s="27">
        <f t="shared" si="19"/>
        <v>0.89595236308234438</v>
      </c>
      <c r="AD16" s="27">
        <f t="shared" si="25"/>
        <v>0.9190488926905811</v>
      </c>
      <c r="AE16" s="27">
        <f t="shared" si="26"/>
        <v>0.93989432369858295</v>
      </c>
      <c r="AF16" s="27">
        <f t="shared" ref="AF16:AF23" si="29">+(1+P13/100)^-(($H13-$H$11)/365)</f>
        <v>0.96003169334574157</v>
      </c>
      <c r="AG16" s="27">
        <f>+(1+Q13/100)^-(($H13-$H$12)/365)</f>
        <v>0.97983076950956227</v>
      </c>
      <c r="AH16" s="13">
        <f t="shared" ref="AH16" si="30">+(1+$X$3)^-YEARFRAC($Z16,$Z$16)</f>
        <v>1</v>
      </c>
    </row>
    <row r="17" spans="1:41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9">
        <f t="shared" si="7"/>
        <v>65574.661129188811</v>
      </c>
      <c r="K17" s="9">
        <v>4.4941832899999996</v>
      </c>
      <c r="L17" s="26">
        <f t="shared" si="8"/>
        <v>4.4307030134264735</v>
      </c>
      <c r="M17" s="26">
        <f t="shared" si="12"/>
        <v>4.3193053155156313</v>
      </c>
      <c r="N17" s="26">
        <f t="shared" si="13"/>
        <v>4.2115902120785975</v>
      </c>
      <c r="O17" s="26">
        <f t="shared" si="16"/>
        <v>4.1530330758927203</v>
      </c>
      <c r="P17" s="26">
        <f t="shared" si="18"/>
        <v>4.1292385955917554</v>
      </c>
      <c r="Q17" s="26">
        <f t="shared" si="20"/>
        <v>4.1147615999095999</v>
      </c>
      <c r="R17" s="26">
        <f t="shared" si="22"/>
        <v>4.1122713775396003</v>
      </c>
      <c r="S17" s="26">
        <f t="shared" si="24"/>
        <v>4.1285322974609517</v>
      </c>
      <c r="T17" s="26">
        <f t="shared" si="28"/>
        <v>4.1640248163483884</v>
      </c>
      <c r="U17" s="26">
        <f t="shared" ref="U17:U20" si="31">+(((1+K17/100)^(H17/365)/(1+$K$16/100)^($H$16/365))^(365/(H17-$H$16))-1)*100</f>
        <v>4.2170916418554194</v>
      </c>
      <c r="V17" s="26" t="e">
        <f>+(((1+K17/100)^(H17/365)/(1+$K$17/100)^($H$17/365))^(365/(H17-$H$17))-1)*100</f>
        <v>#DIV/0!</v>
      </c>
      <c r="Z17" s="11">
        <f t="shared" si="14"/>
        <v>46577</v>
      </c>
      <c r="AA17" s="15">
        <f t="shared" si="15"/>
        <v>82100</v>
      </c>
      <c r="AB17" s="27">
        <f t="shared" si="17"/>
        <v>0.85552121766387323</v>
      </c>
      <c r="AC17" s="27">
        <f t="shared" si="19"/>
        <v>0.87843187680143997</v>
      </c>
      <c r="AD17" s="27">
        <f t="shared" si="25"/>
        <v>0.90107675022033928</v>
      </c>
      <c r="AE17" s="27">
        <f t="shared" si="26"/>
        <v>0.92151454561840929</v>
      </c>
      <c r="AF17" s="27">
        <f t="shared" si="29"/>
        <v>0.941258125904465</v>
      </c>
      <c r="AG17" s="27">
        <f t="shared" ref="AG17:AG23" si="32">+(1+Q14/100)^-(($H14-$H$12)/365)</f>
        <v>0.96067002808828827</v>
      </c>
      <c r="AH17" s="27">
        <f>+(1+R14/100)^-(($H14-$H$13)/365)</f>
        <v>0.98044484617393202</v>
      </c>
      <c r="AI17" s="13">
        <f t="shared" ref="AI17" si="33">+(1+$X$3)^-YEARFRAC($Z17,$Z$17)</f>
        <v>1</v>
      </c>
    </row>
    <row r="18" spans="1:41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9">
        <f t="shared" si="7"/>
        <v>63654.846240706065</v>
      </c>
      <c r="K18" s="9">
        <v>4.4805632800000001</v>
      </c>
      <c r="L18" s="26">
        <f t="shared" si="8"/>
        <v>4.4220518172592094</v>
      </c>
      <c r="M18" s="26">
        <f t="shared" si="12"/>
        <v>4.3208378761914856</v>
      </c>
      <c r="N18" s="26">
        <f t="shared" si="13"/>
        <v>4.2251610776168125</v>
      </c>
      <c r="O18" s="26">
        <f t="shared" si="16"/>
        <v>4.1755305452836566</v>
      </c>
      <c r="P18" s="26">
        <f t="shared" si="18"/>
        <v>4.1583452893522832</v>
      </c>
      <c r="Q18" s="26">
        <f t="shared" si="20"/>
        <v>4.1510626725093092</v>
      </c>
      <c r="R18" s="26">
        <f t="shared" si="22"/>
        <v>4.1563912656517266</v>
      </c>
      <c r="S18" s="26">
        <f t="shared" si="24"/>
        <v>4.1795593534426079</v>
      </c>
      <c r="T18" s="26">
        <f t="shared" si="28"/>
        <v>4.2204918744895847</v>
      </c>
      <c r="U18" s="26">
        <f t="shared" si="31"/>
        <v>4.2754293379786867</v>
      </c>
      <c r="V18" s="26">
        <f t="shared" ref="V18:V20" si="34">+(((1+K18/100)^(H18/365)/(1+$K$17/100)^($H$17/365))^(365/(H18-$H$17))-1)*100</f>
        <v>4.3347674294595295</v>
      </c>
      <c r="W18" s="26" t="e">
        <f>+(((1+K18/100)^(H18/365)/(1+$K$18/100)^($H$18/365))^(365/(H18-$H$18))-1)*100</f>
        <v>#DIV/0!</v>
      </c>
      <c r="Z18" s="11">
        <f t="shared" si="14"/>
        <v>46761</v>
      </c>
      <c r="AA18" s="15">
        <f t="shared" si="15"/>
        <v>84200</v>
      </c>
      <c r="AB18" s="27">
        <f t="shared" si="17"/>
        <v>0.83853678258983899</v>
      </c>
      <c r="AC18" s="27">
        <f t="shared" si="19"/>
        <v>0.86099260250823562</v>
      </c>
      <c r="AD18" s="27">
        <f t="shared" si="25"/>
        <v>0.88318791328111057</v>
      </c>
      <c r="AE18" s="27">
        <f t="shared" si="26"/>
        <v>0.90321996256578418</v>
      </c>
      <c r="AF18" s="27">
        <f t="shared" si="29"/>
        <v>0.92257157880632723</v>
      </c>
      <c r="AG18" s="27">
        <f t="shared" si="32"/>
        <v>0.94159810166173952</v>
      </c>
      <c r="AH18" s="27">
        <f t="shared" ref="AH18:AH23" si="35">+(1+R15/100)^-(($H15-$H$13)/365)</f>
        <v>0.96098033554614792</v>
      </c>
      <c r="AI18" s="27">
        <f>+(1+S15/100)^-(($H15-$H$14)/365)</f>
        <v>0.9801472661070717</v>
      </c>
      <c r="AJ18" s="13">
        <f t="shared" ref="AJ18" si="36">+(1+$X$3)^-YEARFRAC($Z18,$Z$18)</f>
        <v>1</v>
      </c>
    </row>
    <row r="19" spans="1:41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9">
        <f t="shared" si="7"/>
        <v>61763.520096687695</v>
      </c>
      <c r="K19" s="9">
        <v>4.4753337399999999</v>
      </c>
      <c r="L19" s="26">
        <f t="shared" si="8"/>
        <v>4.421468187522426</v>
      </c>
      <c r="M19" s="26">
        <f t="shared" si="12"/>
        <v>4.3294632360785901</v>
      </c>
      <c r="N19" s="26">
        <f t="shared" si="13"/>
        <v>4.244284854036473</v>
      </c>
      <c r="O19" s="26">
        <f t="shared" si="16"/>
        <v>4.2022999591223131</v>
      </c>
      <c r="P19" s="26">
        <f t="shared" si="18"/>
        <v>4.1906463898020885</v>
      </c>
      <c r="Q19" s="26">
        <f t="shared" si="20"/>
        <v>4.1889767962836943</v>
      </c>
      <c r="R19" s="26">
        <f t="shared" si="22"/>
        <v>4.1997791719838418</v>
      </c>
      <c r="S19" s="26">
        <f t="shared" si="24"/>
        <v>4.2268820289466325</v>
      </c>
      <c r="T19" s="26">
        <f t="shared" si="28"/>
        <v>4.2694423026506056</v>
      </c>
      <c r="U19" s="26">
        <f t="shared" si="31"/>
        <v>4.3222195465906443</v>
      </c>
      <c r="V19" s="26">
        <f t="shared" si="34"/>
        <v>4.3752557289503002</v>
      </c>
      <c r="W19" s="26">
        <f t="shared" ref="W19:W20" si="37">+(((1+K19/100)^(H19/365)/(1+$K$18/100)^($H$18/365))^(365/(H19-$H$18))-1)*100</f>
        <v>4.4150992228672914</v>
      </c>
      <c r="X19" s="26" t="e">
        <f>+(((1+K19/100)^(H19/365)/(1+$K$19/100)^($H$19/365))^(365/(H19-$H$19))-1)*100</f>
        <v>#DIV/0!</v>
      </c>
      <c r="Z19" s="11">
        <f t="shared" si="14"/>
        <v>46943</v>
      </c>
      <c r="AA19" s="15">
        <f t="shared" si="15"/>
        <v>83500</v>
      </c>
      <c r="AB19" s="27">
        <f t="shared" si="17"/>
        <v>0.82186222579540658</v>
      </c>
      <c r="AC19" s="27">
        <f t="shared" si="19"/>
        <v>0.84387150496285634</v>
      </c>
      <c r="AD19" s="27">
        <f t="shared" si="25"/>
        <v>0.86562545528770207</v>
      </c>
      <c r="AE19" s="27">
        <f t="shared" si="26"/>
        <v>0.88525916123140225</v>
      </c>
      <c r="AF19" s="27">
        <f t="shared" si="29"/>
        <v>0.90422596474724837</v>
      </c>
      <c r="AG19" s="27">
        <f t="shared" si="32"/>
        <v>0.92287413945796359</v>
      </c>
      <c r="AH19" s="27">
        <f t="shared" si="35"/>
        <v>0.94187095177659363</v>
      </c>
      <c r="AI19" s="27">
        <f t="shared" ref="AI19:AI23" si="38">+(1+S16/100)^-(($H16-$H$14)/365)</f>
        <v>0.96065674214325425</v>
      </c>
      <c r="AJ19" s="27">
        <f>+(1+T16/100)^-(($H16-$H$15)/365)</f>
        <v>0.98011469843584886</v>
      </c>
      <c r="AK19" s="13">
        <f>+(1+$X$3)^-YEARFRAC($Z19,$Z$19)</f>
        <v>1</v>
      </c>
    </row>
    <row r="20" spans="1:41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9">
        <f t="shared" si="7"/>
        <v>59919.097171935944</v>
      </c>
      <c r="K20" s="9">
        <v>4.472118</v>
      </c>
      <c r="L20" s="26">
        <f t="shared" si="8"/>
        <v>4.4222098818722744</v>
      </c>
      <c r="M20" s="26">
        <f t="shared" si="12"/>
        <v>4.3378634105531111</v>
      </c>
      <c r="N20" s="26">
        <f t="shared" si="13"/>
        <v>4.2611272744993434</v>
      </c>
      <c r="O20" s="26">
        <f t="shared" si="16"/>
        <v>4.2249662409467037</v>
      </c>
      <c r="P20" s="26">
        <f t="shared" si="18"/>
        <v>4.2171349449303008</v>
      </c>
      <c r="Q20" s="26">
        <f t="shared" si="20"/>
        <v>4.21895385041966</v>
      </c>
      <c r="R20" s="26">
        <f t="shared" si="22"/>
        <v>4.2325481337213811</v>
      </c>
      <c r="S20" s="26">
        <f t="shared" si="24"/>
        <v>4.2605955215344382</v>
      </c>
      <c r="T20" s="26">
        <f t="shared" si="28"/>
        <v>4.3015241196660892</v>
      </c>
      <c r="U20" s="26">
        <f t="shared" si="31"/>
        <v>4.3492282831167461</v>
      </c>
      <c r="V20" s="26">
        <f t="shared" si="34"/>
        <v>4.3937955793358796</v>
      </c>
      <c r="W20" s="26">
        <f t="shared" si="37"/>
        <v>4.4230794580498722</v>
      </c>
      <c r="X20" s="26">
        <f>+(((1+K20/100)^(H20/365)/(1+$K$19/100)^($H$19/365))^(365/(H20-$H$19))-1)*100</f>
        <v>4.4311925874847446</v>
      </c>
      <c r="Z20" s="11">
        <f t="shared" si="14"/>
        <v>47127</v>
      </c>
      <c r="AA20" s="15">
        <f t="shared" si="15"/>
        <v>82800</v>
      </c>
      <c r="AB20" s="27">
        <f t="shared" si="17"/>
        <v>0.80492575504020869</v>
      </c>
      <c r="AC20" s="27">
        <f t="shared" si="19"/>
        <v>0.82648147946178596</v>
      </c>
      <c r="AD20" s="27">
        <f t="shared" si="25"/>
        <v>0.84778713671277706</v>
      </c>
      <c r="AE20" s="27">
        <f t="shared" si="26"/>
        <v>0.86701624237665587</v>
      </c>
      <c r="AF20" s="27">
        <f t="shared" si="29"/>
        <v>0.88559218875978141</v>
      </c>
      <c r="AG20" s="27">
        <f t="shared" si="32"/>
        <v>0.90385607245953037</v>
      </c>
      <c r="AH20" s="27">
        <f t="shared" si="35"/>
        <v>0.92246140924104703</v>
      </c>
      <c r="AI20" s="27">
        <f t="shared" si="38"/>
        <v>0.94086007269133154</v>
      </c>
      <c r="AJ20" s="27">
        <f t="shared" ref="AJ20:AJ23" si="39">+(1+T17/100)^-(($H17-$H$15)/365)</f>
        <v>0.95991705045326481</v>
      </c>
      <c r="AK20" s="27">
        <f>+(1+U17/100)^-(($H17-$H$16)/365)</f>
        <v>0.97939256699770227</v>
      </c>
      <c r="AL20" s="13">
        <f>+(1+$X$3)^-YEARFRAC($Z20,$Z$20)</f>
        <v>1</v>
      </c>
    </row>
    <row r="21" spans="1:41" x14ac:dyDescent="0.75">
      <c r="Z21" s="11">
        <f t="shared" si="14"/>
        <v>47308</v>
      </c>
      <c r="AA21" s="15">
        <f t="shared" si="15"/>
        <v>82100</v>
      </c>
      <c r="AB21" s="27">
        <f t="shared" si="17"/>
        <v>0.78816479683970209</v>
      </c>
      <c r="AC21" s="27">
        <f t="shared" si="19"/>
        <v>0.80927166670078199</v>
      </c>
      <c r="AD21" s="27">
        <f t="shared" si="25"/>
        <v>0.83013367653661463</v>
      </c>
      <c r="AE21" s="27">
        <f t="shared" si="26"/>
        <v>0.84896237479117997</v>
      </c>
      <c r="AF21" s="27">
        <f t="shared" si="29"/>
        <v>0.86715151449193395</v>
      </c>
      <c r="AG21" s="27">
        <f t="shared" si="32"/>
        <v>0.88503508958638166</v>
      </c>
      <c r="AH21" s="27">
        <f t="shared" si="35"/>
        <v>0.90325300768965511</v>
      </c>
      <c r="AI21" s="27">
        <f t="shared" si="38"/>
        <v>0.92126855601770063</v>
      </c>
      <c r="AJ21" s="27">
        <f t="shared" si="39"/>
        <v>0.93992871058731409</v>
      </c>
      <c r="AK21" s="27">
        <f t="shared" ref="AK21:AK23" si="40">+(1+U18/100)^-(($H18-$H$16)/365)</f>
        <v>0.95899868871197724</v>
      </c>
      <c r="AL21" s="27">
        <f>+(1+V18/100)^-(($H18-$H$17)/365)</f>
        <v>0.97917701341328134</v>
      </c>
      <c r="AM21" s="13">
        <f>+(1+$X$3)^-YEARFRAC($Z21,$Z$21)</f>
        <v>1</v>
      </c>
    </row>
    <row r="22" spans="1:41" x14ac:dyDescent="0.75">
      <c r="Z22" s="11">
        <f t="shared" si="14"/>
        <v>47492</v>
      </c>
      <c r="AA22" s="15">
        <f t="shared" si="15"/>
        <v>81400</v>
      </c>
      <c r="AB22" s="27">
        <f t="shared" si="17"/>
        <v>0.77118446265703189</v>
      </c>
      <c r="AC22" s="27">
        <f t="shared" si="19"/>
        <v>0.79183660311985882</v>
      </c>
      <c r="AD22" s="27">
        <f t="shared" si="25"/>
        <v>0.81224915885655535</v>
      </c>
      <c r="AE22" s="27">
        <f t="shared" si="26"/>
        <v>0.83067220896511229</v>
      </c>
      <c r="AF22" s="27">
        <f t="shared" si="29"/>
        <v>0.848469479260061</v>
      </c>
      <c r="AG22" s="27">
        <f t="shared" si="32"/>
        <v>0.86596776807592579</v>
      </c>
      <c r="AH22" s="27">
        <f t="shared" si="35"/>
        <v>0.8837931967674082</v>
      </c>
      <c r="AI22" s="27">
        <f t="shared" si="38"/>
        <v>0.90142061556680597</v>
      </c>
      <c r="AJ22" s="27">
        <f t="shared" si="39"/>
        <v>0.91967875311946679</v>
      </c>
      <c r="AK22" s="27">
        <f t="shared" si="40"/>
        <v>0.93833788493037518</v>
      </c>
      <c r="AL22" s="27">
        <f t="shared" ref="AL22:AL23" si="41">+(1+V19/100)^-(($H19-$H$17)/365)</f>
        <v>0.95808148494206036</v>
      </c>
      <c r="AM22" s="27">
        <f>+(1+W19/100)^-(($H19-$H$18)/365)</f>
        <v>0.97845585815205716</v>
      </c>
      <c r="AN22" s="13">
        <f>+(1+$X$3)^-YEARFRAC($Z22,$Z$22)</f>
        <v>1</v>
      </c>
    </row>
    <row r="23" spans="1:41" x14ac:dyDescent="0.75">
      <c r="Z23" s="11">
        <f t="shared" si="14"/>
        <v>47673</v>
      </c>
      <c r="AA23" s="15">
        <f t="shared" si="15"/>
        <v>80700</v>
      </c>
      <c r="AB23" s="27">
        <f t="shared" si="17"/>
        <v>0.75478026594334802</v>
      </c>
      <c r="AC23" s="27">
        <f t="shared" si="19"/>
        <v>0.77499310583527892</v>
      </c>
      <c r="AD23" s="27">
        <f t="shared" si="25"/>
        <v>0.79497145731093499</v>
      </c>
      <c r="AE23" s="27">
        <f t="shared" si="26"/>
        <v>0.81300262278918456</v>
      </c>
      <c r="AF23" s="27">
        <f t="shared" si="29"/>
        <v>0.83042131968565103</v>
      </c>
      <c r="AG23" s="27">
        <f t="shared" si="32"/>
        <v>0.84754739486679154</v>
      </c>
      <c r="AH23" s="27">
        <f t="shared" si="35"/>
        <v>0.86499365119041638</v>
      </c>
      <c r="AI23" s="27">
        <f t="shared" si="38"/>
        <v>0.88224610957561767</v>
      </c>
      <c r="AJ23" s="27">
        <f t="shared" si="39"/>
        <v>0.90011587042394581</v>
      </c>
      <c r="AK23" s="27">
        <f t="shared" si="40"/>
        <v>0.91837809580901908</v>
      </c>
      <c r="AL23" s="27">
        <f t="shared" si="41"/>
        <v>0.93770172120488793</v>
      </c>
      <c r="AM23" s="27">
        <f>+(1+W20/100)^-(($H20-$H$18)/365)</f>
        <v>0.95764270235080773</v>
      </c>
      <c r="AN23" s="27">
        <f>+(1+X20/100)^-(($H20-$H$19)/365)</f>
        <v>0.9787285694823703</v>
      </c>
      <c r="AO23" s="13">
        <f>+(1+$X$3)^-YEARFRAC($Z23,$Z$23)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B10"/>
  <sheetViews>
    <sheetView tabSelected="1" workbookViewId="0">
      <selection activeCell="B10" sqref="B10"/>
    </sheetView>
  </sheetViews>
  <sheetFormatPr baseColWidth="10" defaultRowHeight="14.75" x14ac:dyDescent="0.75"/>
  <sheetData>
    <row r="1" spans="1:2" x14ac:dyDescent="0.75">
      <c r="A1" t="s">
        <v>11</v>
      </c>
      <c r="B1" s="10" t="s">
        <v>9</v>
      </c>
    </row>
    <row r="2" spans="1:2" x14ac:dyDescent="0.75">
      <c r="A2" t="s">
        <v>13</v>
      </c>
      <c r="B2" s="10" t="s">
        <v>12</v>
      </c>
    </row>
    <row r="3" spans="1:2" x14ac:dyDescent="0.75">
      <c r="A3" t="s">
        <v>16</v>
      </c>
      <c r="B3" s="10" t="s">
        <v>15</v>
      </c>
    </row>
    <row r="4" spans="1:2" x14ac:dyDescent="0.75">
      <c r="A4" t="s">
        <v>8</v>
      </c>
      <c r="B4" s="11">
        <v>44078</v>
      </c>
    </row>
    <row r="5" spans="1:2" x14ac:dyDescent="0.75">
      <c r="A5" t="s">
        <v>10</v>
      </c>
      <c r="B5" s="11">
        <v>44081</v>
      </c>
    </row>
    <row r="8" spans="1:2" x14ac:dyDescent="0.75">
      <c r="B8">
        <v>30</v>
      </c>
    </row>
    <row r="9" spans="1:2" x14ac:dyDescent="0.75">
      <c r="A9" t="s">
        <v>35</v>
      </c>
      <c r="B9" t="s">
        <v>37</v>
      </c>
    </row>
    <row r="10" spans="1:2" x14ac:dyDescent="0.75">
      <c r="A10" t="s">
        <v>36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PRICES</vt:lpstr>
      <vt:lpstr>FF</vt:lpstr>
      <vt:lpstr>FFant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dcterms:created xsi:type="dcterms:W3CDTF">2023-09-18T20:51:01Z</dcterms:created>
  <dcterms:modified xsi:type="dcterms:W3CDTF">2023-10-23T18:01:58Z</dcterms:modified>
</cp:coreProperties>
</file>