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638" documentId="14_{36CB20EE-E6F5-4308-AA86-D680FEB8C88E}" xr6:coauthVersionLast="47" xr6:coauthVersionMax="47" xr10:uidLastSave="{D8BB7432-2019-4AD4-BD1E-5FCD95C7544E}"/>
  <bookViews>
    <workbookView xWindow="-90" yWindow="-90" windowWidth="19380" windowHeight="10260" firstSheet="9" activeTab="17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FFant!$AB$12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FFant!$AB$16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G25" i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F26" i="1"/>
  <c r="K7" i="1" l="1"/>
  <c r="K8" i="1" s="1"/>
  <c r="AS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H26" i="1"/>
  <c r="AI26" i="1"/>
  <c r="AJ26" i="1"/>
  <c r="AL26" i="1"/>
  <c r="AO26" i="1"/>
  <c r="AP26" i="1"/>
  <c r="AQ26" i="1"/>
  <c r="AN26" i="1"/>
  <c r="AR26" i="1"/>
  <c r="AK26" i="1"/>
  <c r="AM26" i="1"/>
  <c r="AG26" i="1"/>
  <c r="N7" i="1" l="1"/>
  <c r="C6" i="17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N8" i="1" s="1"/>
  <c r="T13" i="1"/>
  <c r="AJ16" i="1" s="1"/>
  <c r="H20" i="1"/>
  <c r="H19" i="1"/>
  <c r="U19" i="1" s="1"/>
  <c r="AK22" i="1" s="1"/>
  <c r="H18" i="1"/>
  <c r="H17" i="1"/>
  <c r="Y17" i="1" s="1"/>
  <c r="AO20" i="1" s="1"/>
  <c r="H16" i="1"/>
  <c r="H15" i="1"/>
  <c r="H14" i="1"/>
  <c r="H13" i="1"/>
  <c r="H12" i="1"/>
  <c r="H11" i="1"/>
  <c r="T11" i="1" s="1"/>
  <c r="H10" i="1"/>
  <c r="S11" i="1" s="1"/>
  <c r="AI14" i="1" s="1"/>
  <c r="H9" i="1"/>
  <c r="H8" i="1"/>
  <c r="H7" i="1"/>
  <c r="P7" i="1" s="1"/>
  <c r="AF4" i="1" a="1"/>
  <c r="AF4" i="1" s="1"/>
  <c r="AF5" i="1" s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B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F2" i="1"/>
  <c r="F3" i="1"/>
  <c r="F4" i="1"/>
  <c r="F5" i="1"/>
  <c r="F6" i="1"/>
  <c r="F8" i="1"/>
  <c r="AE11" i="1" s="1"/>
  <c r="F9" i="1"/>
  <c r="AE12" i="1" s="1"/>
  <c r="F10" i="1"/>
  <c r="AE13" i="1" s="1"/>
  <c r="F11" i="1"/>
  <c r="F12" i="1"/>
  <c r="F13" i="1"/>
  <c r="AE16" i="1" s="1"/>
  <c r="F14" i="1"/>
  <c r="AE17" i="1" s="1"/>
  <c r="F15" i="1"/>
  <c r="AE18" i="1" s="1"/>
  <c r="F16" i="1"/>
  <c r="AE19" i="1" s="1"/>
  <c r="F17" i="1"/>
  <c r="AE20" i="1" s="1"/>
  <c r="F18" i="1"/>
  <c r="AE21" i="1" s="1"/>
  <c r="F19" i="1"/>
  <c r="AE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9" i="1" l="1"/>
  <c r="AE10" i="1"/>
  <c r="J10" i="1"/>
  <c r="K10" i="1"/>
  <c r="K9" i="1"/>
  <c r="S18" i="1"/>
  <c r="AI21" i="1" s="1"/>
  <c r="S14" i="1"/>
  <c r="AI17" i="1" s="1"/>
  <c r="Q15" i="1"/>
  <c r="AG18" i="1" s="1"/>
  <c r="W16" i="1"/>
  <c r="AM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B20" i="1"/>
  <c r="AR23" i="1" s="1"/>
  <c r="U16" i="1"/>
  <c r="AK19" i="1" s="1"/>
  <c r="V20" i="1"/>
  <c r="AL23" i="1" s="1"/>
  <c r="S12" i="1"/>
  <c r="AI15" i="1" s="1"/>
  <c r="X19" i="1"/>
  <c r="AN22" i="1" s="1"/>
  <c r="S13" i="1"/>
  <c r="AI16" i="1" s="1"/>
  <c r="AA19" i="1"/>
  <c r="AQ22" i="1" s="1"/>
  <c r="S15" i="1"/>
  <c r="AI18" i="1" s="1"/>
  <c r="T17" i="1"/>
  <c r="AJ20" i="1" s="1"/>
  <c r="U20" i="1"/>
  <c r="AK23" i="1" s="1"/>
  <c r="W17" i="1"/>
  <c r="AM20" i="1" s="1"/>
  <c r="Y18" i="1"/>
  <c r="AO21" i="1" s="1"/>
  <c r="S16" i="1"/>
  <c r="AI19" i="1" s="1"/>
  <c r="T18" i="1"/>
  <c r="AJ21" i="1" s="1"/>
  <c r="V13" i="1"/>
  <c r="W18" i="1"/>
  <c r="AM21" i="1" s="1"/>
  <c r="Y19" i="1"/>
  <c r="AO22" i="1" s="1"/>
  <c r="S17" i="1"/>
  <c r="AI20" i="1" s="1"/>
  <c r="T19" i="1"/>
  <c r="AJ22" i="1" s="1"/>
  <c r="V14" i="1"/>
  <c r="AL17" i="1" s="1"/>
  <c r="W19" i="1"/>
  <c r="AM22" i="1" s="1"/>
  <c r="Y20" i="1"/>
  <c r="AO23" i="1" s="1"/>
  <c r="T20" i="1"/>
  <c r="AJ23" i="1" s="1"/>
  <c r="V15" i="1"/>
  <c r="AL18" i="1" s="1"/>
  <c r="W20" i="1"/>
  <c r="AM23" i="1" s="1"/>
  <c r="Z17" i="1"/>
  <c r="P18" i="1"/>
  <c r="AF21" i="1" s="1"/>
  <c r="S19" i="1"/>
  <c r="AI22" i="1" s="1"/>
  <c r="U12" i="1"/>
  <c r="V16" i="1"/>
  <c r="AL19" i="1" s="1"/>
  <c r="X15" i="1"/>
  <c r="Z18" i="1"/>
  <c r="AP21" i="1" s="1"/>
  <c r="S20" i="1"/>
  <c r="AI23" i="1" s="1"/>
  <c r="U13" i="1"/>
  <c r="AK16" i="1" s="1"/>
  <c r="V17" i="1"/>
  <c r="AL20" i="1" s="1"/>
  <c r="X16" i="1"/>
  <c r="AN19" i="1" s="1"/>
  <c r="Z19" i="1"/>
  <c r="AP22" i="1" s="1"/>
  <c r="U14" i="1"/>
  <c r="AK17" i="1" s="1"/>
  <c r="V18" i="1"/>
  <c r="AL21" i="1" s="1"/>
  <c r="X17" i="1"/>
  <c r="AN20" i="1" s="1"/>
  <c r="Z20" i="1"/>
  <c r="AP23" i="1" s="1"/>
  <c r="S10" i="1"/>
  <c r="T12" i="1"/>
  <c r="AJ15" i="1" s="1"/>
  <c r="U15" i="1"/>
  <c r="AK18" i="1" s="1"/>
  <c r="V19" i="1"/>
  <c r="AL22" i="1" s="1"/>
  <c r="X18" i="1"/>
  <c r="AN21" i="1" s="1"/>
  <c r="AA18" i="1"/>
  <c r="T14" i="1"/>
  <c r="AJ17" i="1" s="1"/>
  <c r="U17" i="1"/>
  <c r="AK20" i="1" s="1"/>
  <c r="W14" i="1"/>
  <c r="X20" i="1"/>
  <c r="AN23" i="1" s="1"/>
  <c r="AA20" i="1"/>
  <c r="AQ23" i="1" s="1"/>
  <c r="T15" i="1"/>
  <c r="AJ18" i="1" s="1"/>
  <c r="U18" i="1"/>
  <c r="AK21" i="1" s="1"/>
  <c r="W15" i="1"/>
  <c r="AM18" i="1" s="1"/>
  <c r="Y16" i="1"/>
  <c r="AB19" i="1"/>
  <c r="T16" i="1"/>
  <c r="AJ19" i="1" s="1"/>
  <c r="R10" i="1"/>
  <c r="AH13" i="1" s="1"/>
  <c r="R11" i="1"/>
  <c r="AH14" i="1" s="1"/>
  <c r="R13" i="1"/>
  <c r="AH16" i="1" s="1"/>
  <c r="R14" i="1"/>
  <c r="AH17" i="1" s="1"/>
  <c r="R16" i="1"/>
  <c r="AH19" i="1" s="1"/>
  <c r="P19" i="1"/>
  <c r="AF22" i="1" s="1"/>
  <c r="L17" i="1"/>
  <c r="M17" i="1" s="1"/>
  <c r="R17" i="1"/>
  <c r="AH20" i="1" s="1"/>
  <c r="Q11" i="1"/>
  <c r="AG14" i="1" s="1"/>
  <c r="L8" i="1"/>
  <c r="M8" i="1" s="1"/>
  <c r="Q12" i="1"/>
  <c r="AG15" i="1" s="1"/>
  <c r="R20" i="1"/>
  <c r="AH23" i="1" s="1"/>
  <c r="L20" i="1"/>
  <c r="M20" i="1" s="1"/>
  <c r="R9" i="1"/>
  <c r="R12" i="1"/>
  <c r="AH15" i="1" s="1"/>
  <c r="P17" i="1"/>
  <c r="AF20" i="1" s="1"/>
  <c r="R15" i="1"/>
  <c r="AH18" i="1" s="1"/>
  <c r="Q16" i="1"/>
  <c r="AG19" i="1" s="1"/>
  <c r="L12" i="1"/>
  <c r="M12" i="1" s="1"/>
  <c r="Q9" i="1"/>
  <c r="AG12" i="1" s="1"/>
  <c r="L18" i="1"/>
  <c r="M18" i="1" s="1"/>
  <c r="L11" i="1"/>
  <c r="M11" i="1" s="1"/>
  <c r="R18" i="1"/>
  <c r="AH21" i="1" s="1"/>
  <c r="R19" i="1"/>
  <c r="AH22" i="1" s="1"/>
  <c r="Q10" i="1"/>
  <c r="AG13" i="1" s="1"/>
  <c r="Q14" i="1"/>
  <c r="AG17" i="1" s="1"/>
  <c r="Q13" i="1"/>
  <c r="AG16" i="1" s="1"/>
  <c r="P11" i="1"/>
  <c r="AF14" i="1" s="1"/>
  <c r="L9" i="1"/>
  <c r="M9" i="1" s="1"/>
  <c r="P12" i="1"/>
  <c r="AF15" i="1" s="1"/>
  <c r="L19" i="1"/>
  <c r="M19" i="1" s="1"/>
  <c r="P8" i="1"/>
  <c r="AF11" i="1" s="1"/>
  <c r="P10" i="1"/>
  <c r="AF13" i="1" s="1"/>
  <c r="Q17" i="1"/>
  <c r="AG20" i="1" s="1"/>
  <c r="P20" i="1"/>
  <c r="AF23" i="1" s="1"/>
  <c r="P9" i="1"/>
  <c r="AF12" i="1" s="1"/>
  <c r="Q18" i="1"/>
  <c r="AG21" i="1" s="1"/>
  <c r="L7" i="1"/>
  <c r="Q19" i="1"/>
  <c r="AG22" i="1" s="1"/>
  <c r="Q8" i="1"/>
  <c r="Q20" i="1"/>
  <c r="AG23" i="1" s="1"/>
  <c r="L14" i="1"/>
  <c r="M14" i="1" s="1"/>
  <c r="L15" i="1"/>
  <c r="M15" i="1" s="1"/>
  <c r="P13" i="1"/>
  <c r="AF16" i="1" s="1"/>
  <c r="L16" i="1"/>
  <c r="M16" i="1" s="1"/>
  <c r="P14" i="1"/>
  <c r="AF17" i="1" s="1"/>
  <c r="P15" i="1"/>
  <c r="AF18" i="1" s="1"/>
  <c r="P16" i="1"/>
  <c r="AF19" i="1" s="1"/>
  <c r="L10" i="1"/>
  <c r="M10" i="1" s="1"/>
  <c r="L13" i="1"/>
  <c r="M13" i="1" s="1"/>
  <c r="AH12" i="1"/>
  <c r="AK4" i="1"/>
  <c r="AK5" i="1" s="1"/>
  <c r="AJ4" i="1"/>
  <c r="AJ5" i="1" s="1"/>
  <c r="AI4" i="1"/>
  <c r="AI5" i="1" s="1"/>
  <c r="AH4" i="1"/>
  <c r="AH5" i="1" s="1"/>
  <c r="AQ4" i="1"/>
  <c r="AQ5" i="1" s="1"/>
  <c r="AO4" i="1"/>
  <c r="AO5" i="1" s="1"/>
  <c r="AM4" i="1"/>
  <c r="AM5" i="1" s="1"/>
  <c r="AS4" i="1"/>
  <c r="AS5" i="1" s="1"/>
  <c r="AG4" i="1"/>
  <c r="AG5" i="1" s="1"/>
  <c r="AP4" i="1"/>
  <c r="AP5" i="1" s="1"/>
  <c r="AN4" i="1"/>
  <c r="AN5" i="1" s="1"/>
  <c r="AL4" i="1"/>
  <c r="AL5" i="1" s="1"/>
  <c r="AR4" i="1"/>
  <c r="AR5" i="1" s="1"/>
  <c r="AF2" i="1" a="1"/>
  <c r="AF2" i="1" s="1"/>
  <c r="AF7" i="1" s="1"/>
  <c r="AI13" i="1"/>
  <c r="AQ21" i="1"/>
  <c r="AM17" i="1"/>
  <c r="AO19" i="1"/>
  <c r="AR22" i="1"/>
  <c r="AS23" i="1"/>
  <c r="AL16" i="1"/>
  <c r="AE23" i="1"/>
  <c r="AP20" i="1"/>
  <c r="AF10" i="1"/>
  <c r="AK15" i="1"/>
  <c r="AN18" i="1"/>
  <c r="AE14" i="1"/>
  <c r="AE15" i="1"/>
  <c r="AG11" i="1"/>
  <c r="AJ14" i="1"/>
  <c r="N10" i="1" l="1"/>
  <c r="N9" i="1"/>
  <c r="J11" i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S2" i="1"/>
  <c r="AS7" i="1" s="1"/>
  <c r="AM2" i="1"/>
  <c r="AM7" i="1" s="1"/>
  <c r="AH2" i="1"/>
  <c r="AH7" i="1" s="1"/>
  <c r="AP2" i="1"/>
  <c r="AP7" i="1" s="1"/>
  <c r="AI2" i="1"/>
  <c r="AI7" i="1" s="1"/>
  <c r="AJ2" i="1"/>
  <c r="AJ7" i="1" s="1"/>
  <c r="AN2" i="1"/>
  <c r="AN7" i="1" s="1"/>
  <c r="AQ2" i="1"/>
  <c r="AQ7" i="1" s="1"/>
  <c r="AO2" i="1"/>
  <c r="AO7" i="1" s="1"/>
  <c r="AG2" i="1"/>
  <c r="AG7" i="1" s="1"/>
  <c r="AL2" i="1"/>
  <c r="AL7" i="1" s="1"/>
  <c r="AR2" i="1"/>
  <c r="AR7" i="1" s="1"/>
  <c r="AK2" i="1"/>
  <c r="AK7" i="1" s="1"/>
  <c r="AK3" i="1"/>
  <c r="AK6" i="1" s="1"/>
  <c r="AK27" i="1" s="1"/>
  <c r="AK28" i="1" s="1"/>
  <c r="AF3" i="1"/>
  <c r="AR3" i="1"/>
  <c r="AR6" i="1" s="1"/>
  <c r="AB5" i="1"/>
  <c r="AB6" i="1" s="1"/>
  <c r="AB10" i="1" s="1"/>
  <c r="AP3" i="1"/>
  <c r="AP6" i="1" s="1"/>
  <c r="AQ3" i="1"/>
  <c r="AQ6" i="1" s="1"/>
  <c r="AO3" i="1"/>
  <c r="AO6" i="1" s="1"/>
  <c r="AG3" i="1"/>
  <c r="AG6" i="1" s="1"/>
  <c r="AS3" i="1"/>
  <c r="AS6" i="1" s="1"/>
  <c r="AL3" i="1"/>
  <c r="AL6" i="1" s="1"/>
  <c r="AH3" i="1"/>
  <c r="AH6" i="1" s="1"/>
  <c r="AI3" i="1"/>
  <c r="AI6" i="1" s="1"/>
  <c r="AM3" i="1"/>
  <c r="AM6" i="1" s="1"/>
  <c r="AJ3" i="1"/>
  <c r="AJ6" i="1" s="1"/>
  <c r="AN3" i="1"/>
  <c r="AN6" i="1" s="1"/>
  <c r="N11" i="1" l="1"/>
  <c r="J12" i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L8" i="1"/>
  <c r="AL27" i="1"/>
  <c r="AL28" i="1" s="1"/>
  <c r="AS8" i="1"/>
  <c r="AS27" i="1"/>
  <c r="AS28" i="1" s="1"/>
  <c r="AR8" i="1"/>
  <c r="AR27" i="1"/>
  <c r="AR28" i="1" s="1"/>
  <c r="AH8" i="1"/>
  <c r="AH27" i="1"/>
  <c r="AH28" i="1" s="1"/>
  <c r="AG8" i="1"/>
  <c r="AG27" i="1"/>
  <c r="AG28" i="1" s="1"/>
  <c r="AQ8" i="1"/>
  <c r="AQ27" i="1"/>
  <c r="AQ28" i="1" s="1"/>
  <c r="AJ8" i="1"/>
  <c r="AJ27" i="1"/>
  <c r="AJ28" i="1" s="1"/>
  <c r="AP8" i="1"/>
  <c r="AP27" i="1"/>
  <c r="AP28" i="1" s="1"/>
  <c r="AN8" i="1"/>
  <c r="AN27" i="1"/>
  <c r="AN28" i="1" s="1"/>
  <c r="AO8" i="1"/>
  <c r="AO27" i="1"/>
  <c r="AO28" i="1" s="1"/>
  <c r="AM8" i="1"/>
  <c r="AM27" i="1"/>
  <c r="AM28" i="1" s="1"/>
  <c r="AI8" i="1"/>
  <c r="AI27" i="1"/>
  <c r="AI28" i="1" s="1"/>
  <c r="AK8" i="1"/>
  <c r="AF6" i="1"/>
  <c r="AC3" i="1"/>
  <c r="AB7" i="1"/>
  <c r="AB8" i="1" s="1"/>
  <c r="N12" i="1" l="1"/>
  <c r="J13" i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F27" i="1"/>
  <c r="AF28" i="1" s="1"/>
  <c r="AF29" i="1" s="1"/>
  <c r="AF30" i="1" s="1"/>
  <c r="AF8" i="1"/>
  <c r="AD6" i="1"/>
  <c r="N13" i="1" l="1"/>
  <c r="J14" i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B11" i="1"/>
  <c r="AD8" i="1"/>
  <c r="N14" i="1" l="1"/>
  <c r="J15" i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AB14" i="1"/>
  <c r="N15" i="1" l="1"/>
  <c r="J16" i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C3" i="6" s="1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I4" i="6"/>
  <c r="N16" i="1" l="1"/>
  <c r="J17" i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N17" i="1" l="1"/>
  <c r="J18" i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N18" i="1" l="1"/>
  <c r="J19" i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N19" i="1" l="1"/>
  <c r="J20" i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N20" i="1" l="1"/>
  <c r="AB15" i="1" s="1"/>
  <c r="AB16" i="1" s="1"/>
  <c r="B18" i="17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<sst xmlns="http://schemas.openxmlformats.org/spreadsheetml/2006/main" count="176" uniqueCount="68">
  <si>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</si>
  <si>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</si>
  <si>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</si>
  <si>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</si>
  <si>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</si>
  <si>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</si>
  <si>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</si>
  <si>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</si>
  <si>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</si>
  <si>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</si>
  <si>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</si>
  <si>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</si>
  <si>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</si>
  <si>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</si>
  <si>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</si>
  <si>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</si>
  <si>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</si>
  <si>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</si>
  <si>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</si>
  <si>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</si>
  <si>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</si>
  <si>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</si>
  <si>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</si>
  <si>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</si>
  <si>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</si>
  <si>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</si>
  <si>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</si>
  <si>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</si>
  <si>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</si>
  <si>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</si>
  <si>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</si>
  <si>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</si>
  <si>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</si>
  <si>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</si>
  <si>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</si>
  <si>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</si>
  <si>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</si>
  <si>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</si>
  <si>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</si>
  <si>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</si>
  <si>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</si>
  <si>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</si>
  <si>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</si>
  <si>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</si>
  <si>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</si>
  <si>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</si>
  <si>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</si>
  <si>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</si>
  <si>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</si>
  <si>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</si>
  <si>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</si>
  <si>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</si>
  <si>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</si>
  <si>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</si>
  <si>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</si>
  <si>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</si>
  <si>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</si>
  <si>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</si>
  <si>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</si>
  <si>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</si>
  <si>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</si>
  <si>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</si>
  <si>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</si>
  <si>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</si>
  <si>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</si>
  <si>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</si>
  <si>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</si>
  <si>
    <t>Metodologia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</si>
</sst>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2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5" activePane="bottomLeft" state="frozen"/>
      <selection pane="bottomLeft" activeCell="F762" sqref="F76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51</v>
      </c>
      <c r="C1" t="s">
        <v>38</v>
      </c>
      <c r="D1" t="s">
        <v>39</v>
      </c>
      <c r="E1" t="s">
        <v>52</v>
      </c>
      <c r="F1" t="s">
        <v>41</v>
      </c>
      <c r="G1" t="s">
        <v>60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60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59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61</v>
      </c>
    </row>
    <row r="12" spans="1:7" x14ac:dyDescent="0.75">
      <c r="A12" t="s">
        <v>63</v>
      </c>
      <c r="B12" t="s">
        <v>34</v>
      </c>
      <c r="C12" t="s">
        <v>35</v>
      </c>
      <c r="D12" t="s">
        <v>60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62</v>
      </c>
      <c r="C18" s="30">
        <v>2091997124</v>
      </c>
      <c r="D18" s="30">
        <f t="shared" si="0"/>
        <v>2091997124</v>
      </c>
    </row>
    <row r="19" spans="1:4" x14ac:dyDescent="0.75">
      <c r="A19" s="31" t="s">
        <v>60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S30"/>
  <sheetViews>
    <sheetView tabSelected="1" topLeftCell="S2" zoomScaleNormal="100" workbookViewId="0">
      <selection activeCell="Z12" sqref="Z12"/>
    </sheetView>
  </sheetViews>
  <sheetFormatPr baseColWidth="10" defaultRowHeight="14.75" x14ac:dyDescent="0.75"/>
  <cols>
    <col min="13" max="13" width="12.58984375" bestFit="1" customWidth="1"/>
    <col min="14" max="14" width="12.58984375" customWidth="1"/>
    <col min="15" max="15" width="14.81640625" bestFit="1" customWidth="1"/>
    <col min="28" max="28" width="16.6328125" bestFit="1" customWidth="1"/>
  </cols>
  <sheetData>
    <row r="1" spans="1:4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65</v>
      </c>
      <c r="K1" t="s">
        <v>66</v>
      </c>
      <c r="L1" t="s">
        <v>18</v>
      </c>
      <c r="M1" t="s">
        <v>64</v>
      </c>
      <c r="N1" t="s">
        <v>67</v>
      </c>
      <c r="O1" t="s">
        <v>33</v>
      </c>
      <c r="P1" t="s">
        <v>32</v>
      </c>
      <c r="AA1" t="s">
        <v>6</v>
      </c>
      <c r="AB1" s="11">
        <v>45188</v>
      </c>
      <c r="AE1" t="s">
        <v>27</v>
      </c>
      <c r="AF1" s="20">
        <v>0.3</v>
      </c>
      <c r="AG1" s="20">
        <v>0.38807522271149991</v>
      </c>
    </row>
    <row r="2" spans="1:45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O2" s="9"/>
      <c r="AA2" t="s">
        <v>7</v>
      </c>
      <c r="AB2" s="12">
        <v>30.68</v>
      </c>
      <c r="AE2" t="s">
        <v>6</v>
      </c>
      <c r="AF2" s="11">
        <f t="array" ref="AF2:AS2">+TRANSPOSE(AD10:AD23)</f>
        <v>45300</v>
      </c>
      <c r="AG2" s="11">
        <v>45482</v>
      </c>
      <c r="AH2" s="11">
        <v>45666</v>
      </c>
      <c r="AI2" s="11">
        <v>45847</v>
      </c>
      <c r="AJ2" s="11">
        <v>46031</v>
      </c>
      <c r="AK2" s="11">
        <v>46212</v>
      </c>
      <c r="AL2" s="11">
        <v>46396</v>
      </c>
      <c r="AM2" s="11">
        <v>46577</v>
      </c>
      <c r="AN2" s="11">
        <v>46761</v>
      </c>
      <c r="AO2" s="11">
        <v>46943</v>
      </c>
      <c r="AP2" s="11">
        <v>47127</v>
      </c>
      <c r="AQ2" s="11">
        <v>47308</v>
      </c>
      <c r="AR2" s="11">
        <v>47492</v>
      </c>
      <c r="AS2" s="11">
        <v>47673</v>
      </c>
    </row>
    <row r="3" spans="1:45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O3" s="9"/>
      <c r="AA3" t="s">
        <v>14</v>
      </c>
      <c r="AB3" s="13">
        <f>44.69%*0+4%</f>
        <v>0.04</v>
      </c>
      <c r="AC3" s="26">
        <f>+AD3-AF3</f>
        <v>1.9945161313136452</v>
      </c>
      <c r="AD3">
        <v>90.851096387317099</v>
      </c>
      <c r="AE3" t="s">
        <v>7</v>
      </c>
      <c r="AF3" s="24">
        <f>+SUMPRODUCT($AE$10:$AE$23,AF$10:AF$23)/10000</f>
        <v>88.856580256003454</v>
      </c>
      <c r="AG3" s="24">
        <f t="shared" ref="AG3:AS3" si="2">+SUMPRODUCT($AE$10:$AE$23,AG$10:AG$23)/10000</f>
        <v>90.851096386455538</v>
      </c>
      <c r="AH3" s="24">
        <f t="shared" si="2"/>
        <v>88.705341827276925</v>
      </c>
      <c r="AI3" s="9">
        <f t="shared" si="2"/>
        <v>82.167696756590487</v>
      </c>
      <c r="AJ3" s="9">
        <f t="shared" si="2"/>
        <v>75.419679917879463</v>
      </c>
      <c r="AK3" s="9">
        <f t="shared" si="2"/>
        <v>68.503913026011645</v>
      </c>
      <c r="AL3" s="9">
        <f t="shared" si="2"/>
        <v>61.473792108162414</v>
      </c>
      <c r="AM3" s="9">
        <f t="shared" si="2"/>
        <v>54.295549939296301</v>
      </c>
      <c r="AN3" s="9">
        <f t="shared" si="2"/>
        <v>47.019005748327928</v>
      </c>
      <c r="AO3" s="9">
        <f t="shared" si="2"/>
        <v>39.382131305578348</v>
      </c>
      <c r="AP3" s="9">
        <f t="shared" si="2"/>
        <v>31.685079457674856</v>
      </c>
      <c r="AQ3" s="9">
        <f t="shared" si="2"/>
        <v>23.902807293328763</v>
      </c>
      <c r="AR3" s="9">
        <f t="shared" si="2"/>
        <v>16.038339555722729</v>
      </c>
      <c r="AS3" s="9">
        <f t="shared" si="2"/>
        <v>8.07</v>
      </c>
    </row>
    <row r="4" spans="1:45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M4" s="9"/>
      <c r="N4" s="9"/>
      <c r="O4" s="9"/>
      <c r="AE4" t="s">
        <v>1</v>
      </c>
      <c r="AF4">
        <f t="array" ref="AF4:AS4">+TRANSPOSE(B7:B20)</f>
        <v>100</v>
      </c>
      <c r="AG4">
        <v>100</v>
      </c>
      <c r="AH4">
        <v>96</v>
      </c>
      <c r="AI4">
        <v>88</v>
      </c>
      <c r="AJ4">
        <v>80</v>
      </c>
      <c r="AK4">
        <v>72</v>
      </c>
      <c r="AL4">
        <v>64</v>
      </c>
      <c r="AM4">
        <v>56</v>
      </c>
      <c r="AN4">
        <v>48</v>
      </c>
      <c r="AO4">
        <v>40</v>
      </c>
      <c r="AP4">
        <v>32</v>
      </c>
      <c r="AQ4">
        <v>24</v>
      </c>
      <c r="AR4">
        <v>16</v>
      </c>
      <c r="AS4">
        <v>8</v>
      </c>
    </row>
    <row r="5" spans="1:45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O5" s="9"/>
      <c r="AA5" t="s">
        <v>19</v>
      </c>
      <c r="AB5" s="15">
        <f>+SUM(L7:L20)</f>
        <v>874113.63501179824</v>
      </c>
      <c r="AE5" t="s">
        <v>27</v>
      </c>
      <c r="AF5">
        <f>+AF4*$AF$1</f>
        <v>30</v>
      </c>
      <c r="AG5">
        <f t="shared" ref="AG5:AS5" si="3">+AG4*$AF$1</f>
        <v>30</v>
      </c>
      <c r="AH5">
        <f t="shared" si="3"/>
        <v>28.799999999999997</v>
      </c>
      <c r="AI5">
        <f t="shared" si="3"/>
        <v>26.4</v>
      </c>
      <c r="AJ5">
        <f t="shared" si="3"/>
        <v>24</v>
      </c>
      <c r="AK5">
        <f t="shared" si="3"/>
        <v>21.599999999999998</v>
      </c>
      <c r="AL5">
        <f t="shared" si="3"/>
        <v>19.2</v>
      </c>
      <c r="AM5">
        <f t="shared" si="3"/>
        <v>16.8</v>
      </c>
      <c r="AN5">
        <f t="shared" si="3"/>
        <v>14.399999999999999</v>
      </c>
      <c r="AO5">
        <f t="shared" si="3"/>
        <v>12</v>
      </c>
      <c r="AP5">
        <f t="shared" si="3"/>
        <v>9.6</v>
      </c>
      <c r="AQ5">
        <f t="shared" si="3"/>
        <v>7.1999999999999993</v>
      </c>
      <c r="AR5">
        <f t="shared" si="3"/>
        <v>4.8</v>
      </c>
      <c r="AS5">
        <f t="shared" si="3"/>
        <v>2.4</v>
      </c>
    </row>
    <row r="6" spans="1:45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O6" s="9"/>
      <c r="AA6" t="s">
        <v>20</v>
      </c>
      <c r="AB6" s="12">
        <f>+AB5/10000</f>
        <v>87.411363501179821</v>
      </c>
      <c r="AD6" s="22">
        <f>+SUM(AF6:AS6)</f>
        <v>529.17101357830882</v>
      </c>
      <c r="AE6" t="s">
        <v>28</v>
      </c>
      <c r="AF6" s="19">
        <f t="shared" ref="AF6:AS6" si="4">+AF3-AF5</f>
        <v>58.856580256003454</v>
      </c>
      <c r="AG6" s="19">
        <f t="shared" si="4"/>
        <v>60.851096386455538</v>
      </c>
      <c r="AH6" s="19">
        <f t="shared" si="4"/>
        <v>59.905341827276928</v>
      </c>
      <c r="AI6" s="19">
        <f t="shared" si="4"/>
        <v>55.767696756590489</v>
      </c>
      <c r="AJ6" s="19">
        <f t="shared" si="4"/>
        <v>51.419679917879463</v>
      </c>
      <c r="AK6" s="19">
        <f t="shared" si="4"/>
        <v>46.903913026011651</v>
      </c>
      <c r="AL6" s="19">
        <f t="shared" si="4"/>
        <v>42.273792108162411</v>
      </c>
      <c r="AM6" s="19">
        <f t="shared" si="4"/>
        <v>37.495549939296296</v>
      </c>
      <c r="AN6" s="19">
        <f t="shared" si="4"/>
        <v>32.619005748327929</v>
      </c>
      <c r="AO6" s="19">
        <f t="shared" si="4"/>
        <v>27.382131305578348</v>
      </c>
      <c r="AP6" s="19">
        <f t="shared" si="4"/>
        <v>22.085079457674858</v>
      </c>
      <c r="AQ6" s="19">
        <f t="shared" si="4"/>
        <v>16.702807293328764</v>
      </c>
      <c r="AR6" s="19">
        <f t="shared" si="4"/>
        <v>11.238339555722728</v>
      </c>
      <c r="AS6" s="19">
        <f t="shared" si="4"/>
        <v>5.67</v>
      </c>
    </row>
    <row r="7" spans="1:45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+A7-$AB$1</f>
        <v>112</v>
      </c>
      <c r="I7" s="9">
        <f>+YEARFRAC($AB$1,A7,0)</f>
        <v>0.30555555555555558</v>
      </c>
      <c r="J7" s="21">
        <f>+(1-$AB$12/2)</f>
        <v>0.85289717484890903</v>
      </c>
      <c r="K7" s="21">
        <f>1-J7</f>
        <v>0.14710282515109097</v>
      </c>
      <c r="L7" s="9">
        <f>+F7/(1+O7/100)^I7</f>
        <v>3688.7745908029106</v>
      </c>
      <c r="M7" s="9">
        <f>+L7*$AF$1</f>
        <v>1106.6323772408732</v>
      </c>
      <c r="N7" s="9">
        <f>+(L7*J7+L7*$AF$1*K7)/10000</f>
        <v>0.33089341762460434</v>
      </c>
      <c r="O7" s="9">
        <v>5.5351710299999999</v>
      </c>
      <c r="P7" t="e">
        <f>+(((1+O7/100)^(H7/365)/(1+$O$7/100)^($H$7/365))^(365/(H7-$H$7))-1)*100</f>
        <v>#DIV/0!</v>
      </c>
      <c r="AA7" t="s">
        <v>21</v>
      </c>
      <c r="AB7" s="12">
        <f>+AB2-AB6</f>
        <v>-56.731363501179821</v>
      </c>
      <c r="AE7" t="s">
        <v>29</v>
      </c>
      <c r="AF7" s="23">
        <f>+(1+$O$7/100)^-YEARFRAC(AF$2,$AB$1)</f>
        <v>0.98367322421410941</v>
      </c>
      <c r="AG7" s="23">
        <f>+(1+$O$8/100)^-YEARFRAC(AG$2,$AB$1)</f>
        <v>0.95794707249450151</v>
      </c>
      <c r="AH7" s="23">
        <f>+(1+$O$9/100)^-YEARFRAC(AH$2,$AB$1)</f>
        <v>0.93407357792337098</v>
      </c>
      <c r="AI7" s="23">
        <f>+(1+$O$10/100)^-YEARFRAC(AI$2,$AB$1)</f>
        <v>0.91316131924595789</v>
      </c>
      <c r="AJ7" s="23">
        <f>+(1+$O$11/100)^-YEARFRAC(AJ$2,$AB$1)</f>
        <v>0.89418545573138519</v>
      </c>
      <c r="AK7" s="23">
        <f>+(1+$O$12/100)^-YEARFRAC(AK$2,$AB$1)</f>
        <v>0.87594242787053134</v>
      </c>
      <c r="AL7" s="23">
        <f>+(1+$O$13/100)^-YEARFRAC(AL$2,$AB$1)</f>
        <v>0.85843829963845064</v>
      </c>
      <c r="AM7" s="23">
        <f>+(1+$O$14/100)^-YEARFRAC(AM$2,$AB$1)</f>
        <v>0.84149175605565185</v>
      </c>
      <c r="AN7" s="23">
        <f>+(1+$O$15/100)^-YEARFRAC(AN$2,$AB$1)</f>
        <v>0.82493740269366544</v>
      </c>
      <c r="AO7" s="23">
        <f>+(1+$O$16/100)^-YEARFRAC(AO$2,$AB$1)</f>
        <v>0.80848278291590814</v>
      </c>
      <c r="AP7" s="23">
        <f>+(1+$O$17/100)^-YEARFRAC(AP$2,$AB$1)</f>
        <v>0.79196450639116922</v>
      </c>
      <c r="AQ7" s="23">
        <f>+(1+$O$18/100)^-YEARFRAC(AQ$2,$AB$1)</f>
        <v>0.77533308453965977</v>
      </c>
      <c r="AR7" s="23">
        <f>+(1+$O$19/100)^-YEARFRAC(AR$2,$AB$1)</f>
        <v>0.75876560315341157</v>
      </c>
      <c r="AS7" s="23">
        <f>+(1+$O$20/100)^-YEARFRAC(AS$2,$AB$1)</f>
        <v>0.7424919104329113</v>
      </c>
    </row>
    <row r="8" spans="1:45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+A8-$AB$1</f>
        <v>294</v>
      </c>
      <c r="I8" s="9">
        <f>+YEARFRAC($AB$1,A8,0)</f>
        <v>0.80555555555555558</v>
      </c>
      <c r="J8" s="21">
        <f>+$J$7*J7</f>
        <v>0.7274335908652505</v>
      </c>
      <c r="K8" s="21">
        <f>+J7*$K$7</f>
        <v>0.12546358398365853</v>
      </c>
      <c r="L8" s="9">
        <f t="shared" ref="L8:L20" si="7">+F8/(1+O8/100)^I8</f>
        <v>41910.18442163444</v>
      </c>
      <c r="M8" s="9">
        <f t="shared" ref="M8:M20" si="8">+L8*$AF$1</f>
        <v>12573.055326490332</v>
      </c>
      <c r="N8" s="9">
        <f t="shared" ref="N8:N20" si="9">+(L8*J8+L8*$AF$1*K8)/10000</f>
        <v>3.2064336530540727</v>
      </c>
      <c r="O8" s="9">
        <v>5.4780901999999996</v>
      </c>
      <c r="P8" s="24">
        <f t="shared" ref="P8:P20" si="10">+(((1+O8/100)^(H8/365)/(1+$O$7/100)^($H$7/365))^(365/(H8-$H$7))-1)*100</f>
        <v>5.4429788817679459</v>
      </c>
      <c r="Q8" s="24" t="e">
        <f>+(((1+O8/100)^(H8/365)/(1+$O$8/100)^($H$8/365))^(365/(H8-$H$8))-1)*100</f>
        <v>#DIV/0!</v>
      </c>
      <c r="R8" s="24"/>
      <c r="S8" s="24"/>
      <c r="T8" s="24"/>
      <c r="U8" s="24"/>
      <c r="V8" s="24"/>
      <c r="W8" s="24"/>
      <c r="X8" s="24"/>
      <c r="Y8" s="24"/>
      <c r="Z8" s="24"/>
      <c r="AA8" t="s">
        <v>22</v>
      </c>
      <c r="AB8" s="16">
        <f>+AB7/AB2</f>
        <v>-1.8491317959967348</v>
      </c>
      <c r="AD8" s="22">
        <f>+SUM(AF8:AS8)</f>
        <v>470.19882035455305</v>
      </c>
      <c r="AE8" t="s">
        <v>30</v>
      </c>
      <c r="AF8" s="22">
        <f>+AF7*AF6</f>
        <v>57.895642066639411</v>
      </c>
      <c r="AG8" s="22">
        <f t="shared" ref="AG8:AS8" si="11">+AG7*AG6</f>
        <v>58.292129641485822</v>
      </c>
      <c r="AH8" s="22">
        <f t="shared" si="11"/>
        <v>55.955996977327132</v>
      </c>
      <c r="AI8" s="22">
        <f t="shared" si="11"/>
        <v>50.924903541556695</v>
      </c>
      <c r="AJ8" s="22">
        <f t="shared" si="11"/>
        <v>45.978729920931002</v>
      </c>
      <c r="AK8" s="22">
        <f t="shared" si="11"/>
        <v>41.085127452632882</v>
      </c>
      <c r="AL8" s="22">
        <f t="shared" si="11"/>
        <v>36.289442216600293</v>
      </c>
      <c r="AM8" s="22">
        <f t="shared" si="11"/>
        <v>31.55219616269083</v>
      </c>
      <c r="AN8" s="22">
        <f t="shared" si="11"/>
        <v>26.908637880475386</v>
      </c>
      <c r="AO8" s="22">
        <f t="shared" si="11"/>
        <v>22.137981720102793</v>
      </c>
      <c r="AP8" s="22">
        <f t="shared" si="11"/>
        <v>17.490599051307221</v>
      </c>
      <c r="AQ8" s="22">
        <f t="shared" si="11"/>
        <v>12.950239099208117</v>
      </c>
      <c r="AR8" s="22">
        <f t="shared" si="11"/>
        <v>8.527265491440799</v>
      </c>
      <c r="AS8" s="22">
        <f t="shared" si="11"/>
        <v>4.2099291321546071</v>
      </c>
    </row>
    <row r="9" spans="1:45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2">+E9+D9*10000</f>
        <v>83600</v>
      </c>
      <c r="G9">
        <f t="shared" si="5"/>
        <v>0.75</v>
      </c>
      <c r="H9" s="15">
        <f t="shared" si="6"/>
        <v>478</v>
      </c>
      <c r="I9" s="9">
        <f t="shared" ref="I9:I20" si="13">+YEARFRAC($AB$1,A9,0)</f>
        <v>1.3055555555555556</v>
      </c>
      <c r="J9" s="21">
        <f t="shared" ref="J9:J20" si="14">+$J$7*J8</f>
        <v>0.62042605453916932</v>
      </c>
      <c r="K9" s="21">
        <f t="shared" ref="K9:K20" si="15">+J8*$K$7</f>
        <v>0.10700753632608119</v>
      </c>
      <c r="L9" s="9">
        <f t="shared" si="7"/>
        <v>78088.55111439382</v>
      </c>
      <c r="M9" s="9">
        <f t="shared" si="8"/>
        <v>23426.565334318144</v>
      </c>
      <c r="N9" s="9">
        <f t="shared" si="9"/>
        <v>5.0954990713590975</v>
      </c>
      <c r="O9" s="9">
        <v>5.3626843400000004</v>
      </c>
      <c r="P9" s="24">
        <f t="shared" si="10"/>
        <v>5.3099578826998561</v>
      </c>
      <c r="Q9" s="24">
        <f t="shared" ref="Q9:Q20" si="16">+(((1+O9/100)^(H9/365)/(1+$O$8/100)^($H$8/365))^(365/(H9-$H$8))-1)*100</f>
        <v>5.1785478505568916</v>
      </c>
      <c r="R9" s="24" t="e">
        <f>+(((1+O9/100)^(H9/365)/(1+$O$9/100)^($H$9/365))^(365/(H9-$H$9))-1)*100</f>
        <v>#DIV/0!</v>
      </c>
      <c r="S9" s="24"/>
      <c r="T9" s="24"/>
      <c r="U9" s="24"/>
      <c r="V9" s="24"/>
      <c r="W9" s="24"/>
      <c r="X9" s="24"/>
      <c r="Y9" s="24"/>
      <c r="Z9" s="24"/>
      <c r="AD9" t="s">
        <v>25</v>
      </c>
      <c r="AE9" t="s">
        <v>3</v>
      </c>
      <c r="AF9" t="s">
        <v>26</v>
      </c>
    </row>
    <row r="10" spans="1:45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2"/>
        <v>83300</v>
      </c>
      <c r="G10">
        <f t="shared" si="5"/>
        <v>0.75</v>
      </c>
      <c r="H10" s="15">
        <f t="shared" si="6"/>
        <v>659</v>
      </c>
      <c r="I10" s="9">
        <f t="shared" si="13"/>
        <v>1.8055555555555556</v>
      </c>
      <c r="J10" s="21">
        <f t="shared" si="14"/>
        <v>0.52915962911911263</v>
      </c>
      <c r="K10" s="21">
        <f t="shared" si="15"/>
        <v>9.1266425420056654E-2</v>
      </c>
      <c r="L10" s="9">
        <f t="shared" si="7"/>
        <v>76066.337893188291</v>
      </c>
      <c r="M10" s="9">
        <f t="shared" si="8"/>
        <v>22819.901367956485</v>
      </c>
      <c r="N10" s="9">
        <f t="shared" si="9"/>
        <v>4.2333925974300266</v>
      </c>
      <c r="O10" s="9">
        <v>5.1600082699999996</v>
      </c>
      <c r="P10" s="24">
        <f t="shared" si="10"/>
        <v>5.0833571404693689</v>
      </c>
      <c r="Q10" s="24">
        <f t="shared" si="16"/>
        <v>4.9044974294241594</v>
      </c>
      <c r="R10" s="24">
        <f t="shared" ref="R10:R20" si="17">+(((1+O10/100)^(H10/365)/(1+$O$9/100)^($H$9/365))^(365/(H10-$H$9))-1)*100</f>
        <v>4.6266366349654975</v>
      </c>
      <c r="S10" s="24" t="e">
        <f>+(((1+O10/100)^(H10/365)/(1+$O$10/100)^($H$10/365))^(365/(H10-$H$10))-1)*100</f>
        <v>#DIV/0!</v>
      </c>
      <c r="T10" s="24"/>
      <c r="U10" s="24"/>
      <c r="V10" s="24"/>
      <c r="W10" s="24"/>
      <c r="X10" s="24"/>
      <c r="Y10" s="24"/>
      <c r="Z10" s="24"/>
      <c r="AA10" t="s">
        <v>24</v>
      </c>
      <c r="AB10" s="12">
        <f>+AB6-AB2</f>
        <v>56.731363501179821</v>
      </c>
      <c r="AD10" s="11">
        <f t="shared" ref="AD10:AD23" si="18">+A7</f>
        <v>45300</v>
      </c>
      <c r="AE10" s="15">
        <f t="shared" ref="AE10:AE23" si="19">+F7</f>
        <v>3750</v>
      </c>
      <c r="AF10" s="13">
        <f>+(1+$AB$3)^-YEARFRAC($AD10,$AD$10)</f>
        <v>1</v>
      </c>
      <c r="AG10" s="13"/>
    </row>
    <row r="11" spans="1:45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2"/>
        <v>83000</v>
      </c>
      <c r="G11">
        <f t="shared" si="5"/>
        <v>0.74999999999999989</v>
      </c>
      <c r="H11" s="15">
        <f t="shared" si="6"/>
        <v>843</v>
      </c>
      <c r="I11" s="9">
        <f t="shared" si="13"/>
        <v>2.3055555555555554</v>
      </c>
      <c r="J11" s="21">
        <f t="shared" si="14"/>
        <v>0.45131875271978766</v>
      </c>
      <c r="K11" s="21">
        <f t="shared" si="15"/>
        <v>7.7840876399324965E-2</v>
      </c>
      <c r="L11" s="9">
        <f t="shared" si="7"/>
        <v>74217.39282570497</v>
      </c>
      <c r="M11" s="9">
        <f t="shared" si="8"/>
        <v>22265.21784771149</v>
      </c>
      <c r="N11" s="9">
        <f t="shared" si="9"/>
        <v>3.5228845230699437</v>
      </c>
      <c r="O11" s="9">
        <v>4.9705677799999997</v>
      </c>
      <c r="P11" s="24">
        <f t="shared" si="10"/>
        <v>4.8843294764046252</v>
      </c>
      <c r="Q11" s="24">
        <f t="shared" si="16"/>
        <v>4.699784600691026</v>
      </c>
      <c r="R11" s="24">
        <f t="shared" si="17"/>
        <v>4.4592622852936969</v>
      </c>
      <c r="S11" s="24">
        <f t="shared" ref="S11:S20" si="20">+(((1+O11/100)^(H11/365)/(1+$O$10/100)^($H$10/365))^(365/(H11-$H$10))-1)*100</f>
        <v>4.2948781085087262</v>
      </c>
      <c r="T11" s="24" t="e">
        <f>+(((1+O11/100)^(H11/365)/(1+$O$11/100)^($H$11/365))^(365/(H11-$H$11))-1)*100</f>
        <v>#DIV/0!</v>
      </c>
      <c r="U11" s="24"/>
      <c r="V11" s="24"/>
      <c r="W11" s="24"/>
      <c r="X11" s="24"/>
      <c r="Y11" s="24"/>
      <c r="Z11" s="24"/>
      <c r="AA11" t="s">
        <v>31</v>
      </c>
      <c r="AB11" s="27">
        <f>+AB10/SUM(AF8:AS8)*2</f>
        <v>0.24130797886052366</v>
      </c>
      <c r="AD11" s="11">
        <f t="shared" si="18"/>
        <v>45482</v>
      </c>
      <c r="AE11" s="15">
        <f t="shared" si="19"/>
        <v>43750</v>
      </c>
      <c r="AF11" s="25">
        <f t="shared" ref="AF11:AF23" si="21">+(1+P8/100)^-((H8-$H$7)/365)</f>
        <v>0.97391868425700878</v>
      </c>
      <c r="AG11" s="13">
        <f>+(1+$AB$3)^-YEARFRAC($AD11,$AD$11)</f>
        <v>1</v>
      </c>
    </row>
    <row r="12" spans="1:45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2"/>
        <v>82700</v>
      </c>
      <c r="G12">
        <f t="shared" si="5"/>
        <v>0.75000000000000011</v>
      </c>
      <c r="H12" s="15">
        <f t="shared" si="6"/>
        <v>1024</v>
      </c>
      <c r="I12" s="9">
        <f t="shared" si="13"/>
        <v>2.8055555555555554</v>
      </c>
      <c r="J12" s="21">
        <f t="shared" si="14"/>
        <v>0.38492848915104028</v>
      </c>
      <c r="K12" s="21">
        <f t="shared" si="15"/>
        <v>6.6390263568747387E-2</v>
      </c>
      <c r="L12" s="9">
        <f t="shared" si="7"/>
        <v>72440.438784892947</v>
      </c>
      <c r="M12" s="9">
        <f t="shared" si="8"/>
        <v>21732.131635467882</v>
      </c>
      <c r="N12" s="9">
        <f t="shared" si="9"/>
        <v>2.9327190602096689</v>
      </c>
      <c r="O12" s="9">
        <v>4.8343869399999999</v>
      </c>
      <c r="P12" s="24">
        <f t="shared" si="10"/>
        <v>4.7486471868301461</v>
      </c>
      <c r="Q12" s="24">
        <f t="shared" si="16"/>
        <v>4.5762530533879575</v>
      </c>
      <c r="R12" s="24">
        <f t="shared" si="17"/>
        <v>4.3740598904487893</v>
      </c>
      <c r="S12" s="24">
        <f t="shared" si="20"/>
        <v>4.2490357483834007</v>
      </c>
      <c r="T12" s="24">
        <f t="shared" ref="T12:T20" si="22">+(((1+O12/100)^(H12/365)/(1+$O$11/100)^($H$11/365))^(365/(H12-$H$11))-1)*100</f>
        <v>4.2024542236241746</v>
      </c>
      <c r="U12" s="24" t="e">
        <f>+(((1+O12/100)^(H12/365)/(1+$O$12/100)^($H$12/365))^(365/(H12-$H$12))-1)*100</f>
        <v>#DIV/0!</v>
      </c>
      <c r="V12" s="24"/>
      <c r="W12" s="24"/>
      <c r="X12" s="24"/>
      <c r="Y12" s="24"/>
      <c r="Z12" s="9"/>
      <c r="AA12" t="s">
        <v>45</v>
      </c>
      <c r="AB12" s="13">
        <v>0.29420565030218193</v>
      </c>
      <c r="AD12" s="11">
        <f t="shared" si="18"/>
        <v>45666</v>
      </c>
      <c r="AE12" s="15">
        <f t="shared" si="19"/>
        <v>83600</v>
      </c>
      <c r="AF12" s="25">
        <f t="shared" si="21"/>
        <v>0.94944322717756691</v>
      </c>
      <c r="AG12" s="25">
        <f t="shared" ref="AG12:AG23" si="23">+(1+Q9/100)^-((H9-$H$8)/365)</f>
        <v>0.97486909587517168</v>
      </c>
      <c r="AH12" s="13">
        <f>+(1+$AB$3)^-YEARFRAC($AD12,$AD$12)</f>
        <v>1</v>
      </c>
    </row>
    <row r="13" spans="1:45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2"/>
        <v>82400</v>
      </c>
      <c r="G13">
        <f t="shared" si="5"/>
        <v>0.75</v>
      </c>
      <c r="H13" s="15">
        <f t="shared" si="6"/>
        <v>1208</v>
      </c>
      <c r="I13" s="9">
        <f t="shared" si="13"/>
        <v>3.3055555555555554</v>
      </c>
      <c r="J13" s="21">
        <f t="shared" si="14"/>
        <v>0.32830442091578116</v>
      </c>
      <c r="K13" s="21">
        <f t="shared" si="15"/>
        <v>5.6624068235259097E-2</v>
      </c>
      <c r="L13" s="9">
        <f t="shared" si="7"/>
        <v>70735.315890208323</v>
      </c>
      <c r="M13" s="9">
        <f t="shared" si="8"/>
        <v>21220.594767062496</v>
      </c>
      <c r="N13" s="9">
        <f t="shared" si="9"/>
        <v>2.4424313327712626</v>
      </c>
      <c r="O13" s="9">
        <v>4.7259706399999999</v>
      </c>
      <c r="P13" s="24">
        <f t="shared" si="10"/>
        <v>4.643628854920534</v>
      </c>
      <c r="Q13" s="24">
        <f t="shared" si="16"/>
        <v>4.4851834308631044</v>
      </c>
      <c r="R13" s="24">
        <f t="shared" si="17"/>
        <v>4.3111400407220835</v>
      </c>
      <c r="S13" s="24">
        <f t="shared" si="20"/>
        <v>4.207332532597996</v>
      </c>
      <c r="T13" s="24">
        <f t="shared" si="22"/>
        <v>4.1632278320903771</v>
      </c>
      <c r="U13" s="24">
        <f t="shared" ref="U13:U20" si="24">+(((1+O13/100)^(H13/365)/(1+$O$12/100)^($H$12/365))^(365/(H13-$H$12))-1)*100</f>
        <v>4.1246554086828757</v>
      </c>
      <c r="V13" s="24" t="e">
        <f>+(((1+O13/100)^(H13/365)/(1+$O$13/100)^($H$13/365))^(365/(H13-$H$13))-1)*100</f>
        <v>#DIV/0!</v>
      </c>
      <c r="W13" s="24"/>
      <c r="X13" s="24"/>
      <c r="Y13" s="24"/>
      <c r="Z13" s="24"/>
      <c r="AA13" t="s">
        <v>48</v>
      </c>
      <c r="AB13" s="20">
        <v>1.7664116049495957</v>
      </c>
      <c r="AD13" s="11">
        <f t="shared" si="18"/>
        <v>45847</v>
      </c>
      <c r="AE13" s="15">
        <f t="shared" si="19"/>
        <v>83300</v>
      </c>
      <c r="AF13" s="25">
        <f t="shared" si="21"/>
        <v>0.92838601596869119</v>
      </c>
      <c r="AG13" s="25">
        <f t="shared" si="23"/>
        <v>0.95324797744993039</v>
      </c>
      <c r="AH13" s="25">
        <f>+(1+R10/100)^-((H10-$H$9)/365)</f>
        <v>0.97782151622538471</v>
      </c>
      <c r="AI13" s="13">
        <f t="shared" ref="AI13" si="25">+(1+$AB$3)^-YEARFRAC($AD13,$AD$13)</f>
        <v>1</v>
      </c>
    </row>
    <row r="14" spans="1:45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2"/>
        <v>82100</v>
      </c>
      <c r="G14">
        <f t="shared" si="5"/>
        <v>0.74999999999999989</v>
      </c>
      <c r="H14" s="15">
        <f t="shared" si="6"/>
        <v>1389</v>
      </c>
      <c r="I14" s="9">
        <f t="shared" si="13"/>
        <v>3.8055555555555554</v>
      </c>
      <c r="J14" s="21">
        <f t="shared" si="14"/>
        <v>0.28000991308947681</v>
      </c>
      <c r="K14" s="21">
        <f t="shared" si="15"/>
        <v>4.8294507826304331E-2</v>
      </c>
      <c r="L14" s="9">
        <f t="shared" si="7"/>
        <v>69086.473172169019</v>
      </c>
      <c r="M14" s="9">
        <f t="shared" si="8"/>
        <v>20725.941951650704</v>
      </c>
      <c r="N14" s="9">
        <f t="shared" si="9"/>
        <v>2.0345846514389043</v>
      </c>
      <c r="O14" s="9">
        <v>4.6393241200000004</v>
      </c>
      <c r="P14" s="24">
        <f t="shared" si="10"/>
        <v>4.561117031462425</v>
      </c>
      <c r="Q14" s="24">
        <f t="shared" si="16"/>
        <v>4.4152592058345652</v>
      </c>
      <c r="R14" s="24">
        <f t="shared" si="17"/>
        <v>4.261767016018303</v>
      </c>
      <c r="S14" s="24">
        <f t="shared" si="20"/>
        <v>4.1714963743308742</v>
      </c>
      <c r="T14" s="24">
        <f t="shared" si="22"/>
        <v>4.1299500729113925</v>
      </c>
      <c r="U14" s="24">
        <f t="shared" si="24"/>
        <v>4.094014673277302</v>
      </c>
      <c r="V14" s="24">
        <f t="shared" ref="V14:V20" si="26">+(((1+O14/100)^(H14/365)/(1+$O$13/100)^($H$13/365))^(365/(H14-$H$13))-1)*100</f>
        <v>4.0628753224142278</v>
      </c>
      <c r="W14" s="24" t="e">
        <f>+(((1+O14/100)^(H14/365)/(1+$O$14/100)^($H$14/365))^(365/(H14-$H$14))-1)*100</f>
        <v>#DIV/0!</v>
      </c>
      <c r="X14" s="24"/>
      <c r="Y14" s="24"/>
      <c r="Z14" s="24"/>
      <c r="AA14" t="s">
        <v>21</v>
      </c>
      <c r="AB14" s="20">
        <f>+AB11-AB12</f>
        <v>-5.2897671441658273E-2</v>
      </c>
      <c r="AD14" s="11">
        <f t="shared" si="18"/>
        <v>46031</v>
      </c>
      <c r="AE14" s="15">
        <f t="shared" si="19"/>
        <v>83000</v>
      </c>
      <c r="AF14" s="25">
        <f t="shared" si="21"/>
        <v>0.90891243763956242</v>
      </c>
      <c r="AG14" s="25">
        <f t="shared" si="23"/>
        <v>0.93325290122446036</v>
      </c>
      <c r="AH14" s="25">
        <f>+(1+R11/100)^-(($H11-$H$9)/365)</f>
        <v>0.95731099198159386</v>
      </c>
      <c r="AI14" s="25">
        <f>+(1+S11/100)^-(($H11-$H$10)/365)</f>
        <v>0.97902426577504031</v>
      </c>
      <c r="AJ14" s="13">
        <f t="shared" ref="AJ14" si="27">+(1+$AB$3)^-YEARFRAC($AD14,$AD$14)</f>
        <v>1</v>
      </c>
    </row>
    <row r="15" spans="1:45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2"/>
        <v>84200</v>
      </c>
      <c r="G15">
        <f t="shared" si="5"/>
        <v>1.75</v>
      </c>
      <c r="H15" s="15">
        <f t="shared" si="6"/>
        <v>1573</v>
      </c>
      <c r="I15" s="9">
        <f t="shared" si="13"/>
        <v>4.3055555555555554</v>
      </c>
      <c r="J15" s="21">
        <f t="shared" si="14"/>
        <v>0.23881966380370334</v>
      </c>
      <c r="K15" s="21">
        <f t="shared" si="15"/>
        <v>4.1190249285773486E-2</v>
      </c>
      <c r="L15" s="9">
        <f t="shared" si="7"/>
        <v>69459.729306806636</v>
      </c>
      <c r="M15" s="9">
        <f t="shared" si="8"/>
        <v>20837.91879204199</v>
      </c>
      <c r="N15" s="9">
        <f t="shared" si="9"/>
        <v>1.7446668270588714</v>
      </c>
      <c r="O15" s="9">
        <v>4.5711533299999996</v>
      </c>
      <c r="P15" s="24">
        <f t="shared" si="10"/>
        <v>4.4976163343802833</v>
      </c>
      <c r="Q15" s="24">
        <f t="shared" si="16"/>
        <v>4.3637831314438325</v>
      </c>
      <c r="R15" s="24">
        <f t="shared" si="17"/>
        <v>4.2274936254728335</v>
      </c>
      <c r="S15" s="24">
        <f t="shared" si="20"/>
        <v>4.148631894552568</v>
      </c>
      <c r="T15" s="24">
        <f t="shared" si="22"/>
        <v>4.111802205426307</v>
      </c>
      <c r="U15" s="24">
        <f t="shared" si="24"/>
        <v>4.0819323999029322</v>
      </c>
      <c r="V15" s="24">
        <f t="shared" si="26"/>
        <v>4.0604019677131342</v>
      </c>
      <c r="W15" s="24">
        <f t="shared" ref="W15:W20" si="28">+(((1+O15/100)^(H15/365)/(1+$O$14/100)^($H$14/365))^(365/(H15-$H$14))-1)*100</f>
        <v>4.0579689968039068</v>
      </c>
      <c r="X15" s="24" t="e">
        <f>+(((1+O15/100)^(H15/365)/(1+$O$15/100)^($H$15/365))^(365/(H15-$H$15))-1)*100</f>
        <v>#DIV/0!</v>
      </c>
      <c r="Y15" s="24"/>
      <c r="Z15" s="24"/>
      <c r="AA15" t="s">
        <v>7</v>
      </c>
      <c r="AB15" s="9">
        <f>+SUM(N7:N20)</f>
        <v>30.680003097614904</v>
      </c>
      <c r="AD15" s="11">
        <f t="shared" si="18"/>
        <v>46212</v>
      </c>
      <c r="AE15" s="15">
        <f t="shared" si="19"/>
        <v>82700</v>
      </c>
      <c r="AF15" s="25">
        <f t="shared" si="21"/>
        <v>0.89054638184803325</v>
      </c>
      <c r="AG15" s="25">
        <f t="shared" si="23"/>
        <v>0.91439500673243634</v>
      </c>
      <c r="AH15" s="25">
        <f t="shared" ref="AH15:AH23" si="29">+(1+R12/100)^-((H12-$H$9)/365)</f>
        <v>0.93796696459185058</v>
      </c>
      <c r="AI15" s="25">
        <f t="shared" ref="AI15:AI23" si="30">+(1+S12/100)^-(($H12-$H$10)/365)</f>
        <v>0.95924148633241157</v>
      </c>
      <c r="AJ15" s="25">
        <f>+(1+T12/100)^-(($H12-$H$11)/365)</f>
        <v>0.97979337169240877</v>
      </c>
      <c r="AK15" s="13">
        <f t="shared" ref="AK15" si="31">+(1+$AB$3)^-YEARFRAC($AD15,$AD$15)</f>
        <v>1</v>
      </c>
    </row>
    <row r="16" spans="1:45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2"/>
        <v>83500</v>
      </c>
      <c r="G16">
        <f t="shared" si="5"/>
        <v>1.7499999999999998</v>
      </c>
      <c r="H16" s="15">
        <f t="shared" si="6"/>
        <v>1755</v>
      </c>
      <c r="I16" s="9">
        <f t="shared" si="13"/>
        <v>4.8055555555555554</v>
      </c>
      <c r="J16" s="21">
        <f t="shared" si="14"/>
        <v>0.20368861655654483</v>
      </c>
      <c r="K16" s="21">
        <f t="shared" si="15"/>
        <v>3.5131047247158501E-2</v>
      </c>
      <c r="L16" s="9">
        <f t="shared" si="7"/>
        <v>67508.312373478329</v>
      </c>
      <c r="M16" s="9">
        <f t="shared" si="8"/>
        <v>20252.493712043499</v>
      </c>
      <c r="N16" s="9">
        <f t="shared" si="9"/>
        <v>1.446216606689146</v>
      </c>
      <c r="O16" s="9">
        <v>4.5232771300000003</v>
      </c>
      <c r="P16" s="24">
        <f t="shared" si="10"/>
        <v>4.4546526525185648</v>
      </c>
      <c r="Q16" s="24">
        <f t="shared" si="16"/>
        <v>4.3321853274355338</v>
      </c>
      <c r="R16" s="24">
        <f t="shared" si="17"/>
        <v>4.2107975476220361</v>
      </c>
      <c r="S16" s="24">
        <f t="shared" si="20"/>
        <v>4.1422825788048456</v>
      </c>
      <c r="T16" s="24">
        <f t="shared" si="22"/>
        <v>4.1115228382808899</v>
      </c>
      <c r="U16" s="24">
        <f t="shared" si="24"/>
        <v>4.0890199388937898</v>
      </c>
      <c r="V16" s="24">
        <f t="shared" si="26"/>
        <v>4.0770356118608575</v>
      </c>
      <c r="W16" s="24">
        <f t="shared" si="28"/>
        <v>4.0840390900061418</v>
      </c>
      <c r="X16" s="24">
        <f t="shared" ref="X16:X20" si="32">+(((1+O16/100)^(H16/365)/(1+$O$15/100)^($H$15/365))^(365/(H16-$H$15))-1)*100</f>
        <v>4.1104023072640494</v>
      </c>
      <c r="Y16" s="24" t="e">
        <f>+(((1+O16/100)^(H16/365)/(1+$O$16/100)^($H$16/365))^(365/(H16-$H$16))-1)*100</f>
        <v>#DIV/0!</v>
      </c>
      <c r="Z16" s="24"/>
      <c r="AA16" t="s">
        <v>46</v>
      </c>
      <c r="AB16" s="12">
        <f>+AB15-AB2</f>
        <v>3.0976149041350709E-6</v>
      </c>
      <c r="AD16" s="11">
        <f t="shared" si="18"/>
        <v>46396</v>
      </c>
      <c r="AE16" s="15">
        <f t="shared" si="19"/>
        <v>82400</v>
      </c>
      <c r="AF16" s="25">
        <f t="shared" si="21"/>
        <v>0.87258474661011476</v>
      </c>
      <c r="AG16" s="25">
        <f t="shared" si="23"/>
        <v>0.89595236308234438</v>
      </c>
      <c r="AH16" s="25">
        <f t="shared" si="29"/>
        <v>0.9190488926905811</v>
      </c>
      <c r="AI16" s="25">
        <f t="shared" si="30"/>
        <v>0.93989432369858295</v>
      </c>
      <c r="AJ16" s="25">
        <f t="shared" ref="AJ16:AJ23" si="33">+(1+T13/100)^-(($H13-$H$11)/365)</f>
        <v>0.96003169334574157</v>
      </c>
      <c r="AK16" s="25">
        <f>+(1+U13/100)^-(($H13-$H$12)/365)</f>
        <v>0.97983076950956227</v>
      </c>
      <c r="AL16" s="13">
        <f t="shared" ref="AL16" si="34">+(1+$AB$3)^-YEARFRAC($AD16,$AD$16)</f>
        <v>1</v>
      </c>
    </row>
    <row r="17" spans="1:45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2"/>
        <v>82800</v>
      </c>
      <c r="G17">
        <f t="shared" si="5"/>
        <v>1.7500000000000002</v>
      </c>
      <c r="H17" s="15">
        <f t="shared" si="6"/>
        <v>1939</v>
      </c>
      <c r="I17" s="9">
        <f t="shared" si="13"/>
        <v>5.3055555555555554</v>
      </c>
      <c r="J17" s="21">
        <f t="shared" si="14"/>
        <v>0.17372544560995981</v>
      </c>
      <c r="K17" s="21">
        <f t="shared" si="15"/>
        <v>2.9963170946585026E-2</v>
      </c>
      <c r="L17" s="9">
        <f t="shared" si="7"/>
        <v>65574.661129188811</v>
      </c>
      <c r="M17" s="9">
        <f t="shared" si="8"/>
        <v>19672.398338756644</v>
      </c>
      <c r="N17" s="9">
        <f t="shared" si="9"/>
        <v>1.1981434659743917</v>
      </c>
      <c r="O17" s="9">
        <v>4.4941832899999996</v>
      </c>
      <c r="P17" s="24">
        <f t="shared" si="10"/>
        <v>4.4307030134264735</v>
      </c>
      <c r="Q17" s="24">
        <f t="shared" si="16"/>
        <v>4.3193053155156313</v>
      </c>
      <c r="R17" s="24">
        <f t="shared" si="17"/>
        <v>4.2115902120785975</v>
      </c>
      <c r="S17" s="24">
        <f t="shared" si="20"/>
        <v>4.1530330758927203</v>
      </c>
      <c r="T17" s="24">
        <f t="shared" si="22"/>
        <v>4.1292385955917554</v>
      </c>
      <c r="U17" s="24">
        <f t="shared" si="24"/>
        <v>4.1147615999095999</v>
      </c>
      <c r="V17" s="24">
        <f t="shared" si="26"/>
        <v>4.1122713775396003</v>
      </c>
      <c r="W17" s="24">
        <f t="shared" si="28"/>
        <v>4.1285322974609517</v>
      </c>
      <c r="X17" s="24">
        <f t="shared" si="32"/>
        <v>4.1640248163483884</v>
      </c>
      <c r="Y17" s="24">
        <f t="shared" ref="Y17:Y20" si="35">+(((1+O17/100)^(H17/365)/(1+$O$16/100)^($H$16/365))^(365/(H17-$H$16))-1)*100</f>
        <v>4.2170916418554194</v>
      </c>
      <c r="Z17" s="24" t="e">
        <f>+(((1+O17/100)^(H17/365)/(1+$O$17/100)^($H$17/365))^(365/(H17-$H$17))-1)*100</f>
        <v>#DIV/0!</v>
      </c>
      <c r="AD17" s="11">
        <f t="shared" si="18"/>
        <v>46577</v>
      </c>
      <c r="AE17" s="15">
        <f t="shared" si="19"/>
        <v>82100</v>
      </c>
      <c r="AF17" s="25">
        <f t="shared" si="21"/>
        <v>0.85552121766387323</v>
      </c>
      <c r="AG17" s="25">
        <f t="shared" si="23"/>
        <v>0.87843187680143997</v>
      </c>
      <c r="AH17" s="25">
        <f t="shared" si="29"/>
        <v>0.90107675022033928</v>
      </c>
      <c r="AI17" s="25">
        <f t="shared" si="30"/>
        <v>0.92151454561840929</v>
      </c>
      <c r="AJ17" s="25">
        <f t="shared" si="33"/>
        <v>0.941258125904465</v>
      </c>
      <c r="AK17" s="25">
        <f t="shared" ref="AK17:AK23" si="36">+(1+U14/100)^-(($H14-$H$12)/365)</f>
        <v>0.96067002808828827</v>
      </c>
      <c r="AL17" s="25">
        <f>+(1+V14/100)^-(($H14-$H$13)/365)</f>
        <v>0.98044484617393202</v>
      </c>
      <c r="AM17" s="13">
        <f t="shared" ref="AM17" si="37">+(1+$AB$3)^-YEARFRAC($AD17,$AD$17)</f>
        <v>1</v>
      </c>
    </row>
    <row r="18" spans="1:45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2"/>
        <v>82100</v>
      </c>
      <c r="G18">
        <f t="shared" si="5"/>
        <v>1.75</v>
      </c>
      <c r="H18" s="15">
        <f t="shared" si="6"/>
        <v>2120</v>
      </c>
      <c r="I18" s="9">
        <f t="shared" si="13"/>
        <v>5.8055555555555554</v>
      </c>
      <c r="J18" s="21">
        <f t="shared" si="14"/>
        <v>0.14816994176010254</v>
      </c>
      <c r="K18" s="21">
        <f t="shared" si="15"/>
        <v>2.5555503849857282E-2</v>
      </c>
      <c r="L18" s="9">
        <f t="shared" si="7"/>
        <v>63654.846240706065</v>
      </c>
      <c r="M18" s="9">
        <f t="shared" si="8"/>
        <v>19096.45387221182</v>
      </c>
      <c r="N18" s="9">
        <f t="shared" si="9"/>
        <v>0.99197543606836303</v>
      </c>
      <c r="O18" s="9">
        <v>4.4805632800000001</v>
      </c>
      <c r="P18" s="24">
        <f t="shared" si="10"/>
        <v>4.4220518172592094</v>
      </c>
      <c r="Q18" s="24">
        <f t="shared" si="16"/>
        <v>4.3208378761914856</v>
      </c>
      <c r="R18" s="24">
        <f t="shared" si="17"/>
        <v>4.2251610776168125</v>
      </c>
      <c r="S18" s="24">
        <f t="shared" si="20"/>
        <v>4.1755305452836566</v>
      </c>
      <c r="T18" s="24">
        <f t="shared" si="22"/>
        <v>4.1583452893522832</v>
      </c>
      <c r="U18" s="24">
        <f t="shared" si="24"/>
        <v>4.1510626725093092</v>
      </c>
      <c r="V18" s="24">
        <f t="shared" si="26"/>
        <v>4.1563912656517266</v>
      </c>
      <c r="W18" s="24">
        <f t="shared" si="28"/>
        <v>4.1795593534426079</v>
      </c>
      <c r="X18" s="24">
        <f t="shared" si="32"/>
        <v>4.2204918744895847</v>
      </c>
      <c r="Y18" s="24">
        <f t="shared" si="35"/>
        <v>4.2754293379786867</v>
      </c>
      <c r="Z18" s="24">
        <f t="shared" ref="Z18:Z20" si="38">+(((1+O18/100)^(H18/365)/(1+$O$17/100)^($H$17/365))^(365/(H18-$H$17))-1)*100</f>
        <v>4.3347674294595295</v>
      </c>
      <c r="AA18" s="24" t="e">
        <f>+(((1+O18/100)^(H18/365)/(1+$O$18/100)^($H$18/365))^(365/(H18-$H$18))-1)*100</f>
        <v>#DIV/0!</v>
      </c>
      <c r="AD18" s="11">
        <f t="shared" si="18"/>
        <v>46761</v>
      </c>
      <c r="AE18" s="15">
        <f t="shared" si="19"/>
        <v>84200</v>
      </c>
      <c r="AF18" s="25">
        <f t="shared" si="21"/>
        <v>0.83853678258983899</v>
      </c>
      <c r="AG18" s="25">
        <f t="shared" si="23"/>
        <v>0.86099260250823562</v>
      </c>
      <c r="AH18" s="25">
        <f t="shared" si="29"/>
        <v>0.88318791328111057</v>
      </c>
      <c r="AI18" s="25">
        <f t="shared" si="30"/>
        <v>0.90321996256578418</v>
      </c>
      <c r="AJ18" s="25">
        <f t="shared" si="33"/>
        <v>0.92257157880632723</v>
      </c>
      <c r="AK18" s="25">
        <f t="shared" si="36"/>
        <v>0.94159810166173952</v>
      </c>
      <c r="AL18" s="25">
        <f t="shared" ref="AL18:AL23" si="39">+(1+V15/100)^-(($H15-$H$13)/365)</f>
        <v>0.96098033554614792</v>
      </c>
      <c r="AM18" s="25">
        <f>+(1+W15/100)^-(($H15-$H$14)/365)</f>
        <v>0.9801472661070717</v>
      </c>
      <c r="AN18" s="13">
        <f t="shared" ref="AN18" si="40">+(1+$AB$3)^-YEARFRAC($AD18,$AD$18)</f>
        <v>1</v>
      </c>
    </row>
    <row r="19" spans="1:45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2"/>
        <v>81400</v>
      </c>
      <c r="G19">
        <f t="shared" si="5"/>
        <v>1.7500000000000002</v>
      </c>
      <c r="H19" s="15">
        <f t="shared" si="6"/>
        <v>2304</v>
      </c>
      <c r="I19" s="9">
        <f t="shared" si="13"/>
        <v>6.3055555555555554</v>
      </c>
      <c r="J19" s="21">
        <f t="shared" si="14"/>
        <v>0.12637372472471883</v>
      </c>
      <c r="K19" s="21">
        <f t="shared" si="15"/>
        <v>2.1796217035383696E-2</v>
      </c>
      <c r="L19" s="9">
        <f t="shared" si="7"/>
        <v>61763.520096687695</v>
      </c>
      <c r="M19" s="9">
        <f t="shared" si="8"/>
        <v>18529.056029006308</v>
      </c>
      <c r="N19" s="9">
        <f t="shared" si="9"/>
        <v>0.82091494133974552</v>
      </c>
      <c r="O19" s="9">
        <v>4.4753337399999999</v>
      </c>
      <c r="P19" s="24">
        <f t="shared" si="10"/>
        <v>4.421468187522426</v>
      </c>
      <c r="Q19" s="24">
        <f t="shared" si="16"/>
        <v>4.3294632360785901</v>
      </c>
      <c r="R19" s="24">
        <f t="shared" si="17"/>
        <v>4.244284854036473</v>
      </c>
      <c r="S19" s="24">
        <f t="shared" si="20"/>
        <v>4.2022999591223131</v>
      </c>
      <c r="T19" s="24">
        <f t="shared" si="22"/>
        <v>4.1906463898020885</v>
      </c>
      <c r="U19" s="24">
        <f t="shared" si="24"/>
        <v>4.1889767962836943</v>
      </c>
      <c r="V19" s="24">
        <f t="shared" si="26"/>
        <v>4.1997791719838418</v>
      </c>
      <c r="W19" s="24">
        <f t="shared" si="28"/>
        <v>4.2268820289466325</v>
      </c>
      <c r="X19" s="24">
        <f t="shared" si="32"/>
        <v>4.2694423026506056</v>
      </c>
      <c r="Y19" s="24">
        <f t="shared" si="35"/>
        <v>4.3222195465906443</v>
      </c>
      <c r="Z19" s="24">
        <f t="shared" si="38"/>
        <v>4.3752557289503002</v>
      </c>
      <c r="AA19" s="24">
        <f t="shared" ref="AA19:AA20" si="41">+(((1+O19/100)^(H19/365)/(1+$O$18/100)^($H$18/365))^(365/(H19-$H$18))-1)*100</f>
        <v>4.4150992228672914</v>
      </c>
      <c r="AB19" s="24" t="e">
        <f>+(((1+O19/100)^(H19/365)/(1+$O$19/100)^($H$19/365))^(365/(H19-$H$19))-1)*100</f>
        <v>#DIV/0!</v>
      </c>
      <c r="AD19" s="11">
        <f t="shared" si="18"/>
        <v>46943</v>
      </c>
      <c r="AE19" s="15">
        <f t="shared" si="19"/>
        <v>83500</v>
      </c>
      <c r="AF19" s="25">
        <f t="shared" si="21"/>
        <v>0.82186222579540658</v>
      </c>
      <c r="AG19" s="25">
        <f t="shared" si="23"/>
        <v>0.84387150496285634</v>
      </c>
      <c r="AH19" s="25">
        <f t="shared" si="29"/>
        <v>0.86562545528770207</v>
      </c>
      <c r="AI19" s="25">
        <f t="shared" si="30"/>
        <v>0.88525916123140225</v>
      </c>
      <c r="AJ19" s="25">
        <f t="shared" si="33"/>
        <v>0.90422596474724837</v>
      </c>
      <c r="AK19" s="25">
        <f t="shared" si="36"/>
        <v>0.92287413945796359</v>
      </c>
      <c r="AL19" s="25">
        <f t="shared" si="39"/>
        <v>0.94187095177659363</v>
      </c>
      <c r="AM19" s="25">
        <f t="shared" ref="AM19:AM23" si="42">+(1+W16/100)^-(($H16-$H$14)/365)</f>
        <v>0.96065674214325425</v>
      </c>
      <c r="AN19" s="25">
        <f>+(1+X16/100)^-(($H16-$H$15)/365)</f>
        <v>0.98011469843584886</v>
      </c>
      <c r="AO19" s="13">
        <f>+(1+$AB$3)^-YEARFRAC($AD19,$AD$19)</f>
        <v>1</v>
      </c>
    </row>
    <row r="20" spans="1:45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2"/>
        <v>80700</v>
      </c>
      <c r="G20">
        <f t="shared" si="5"/>
        <v>1.7500000000000002</v>
      </c>
      <c r="H20" s="15">
        <f t="shared" si="6"/>
        <v>2485</v>
      </c>
      <c r="I20" s="9">
        <f t="shared" si="13"/>
        <v>6.8055555555555554</v>
      </c>
      <c r="J20" s="21">
        <f t="shared" si="14"/>
        <v>0.10778379279284642</v>
      </c>
      <c r="K20" s="21">
        <f t="shared" si="15"/>
        <v>1.8589931931872417E-2</v>
      </c>
      <c r="L20" s="9">
        <f t="shared" si="7"/>
        <v>59919.097171935944</v>
      </c>
      <c r="M20" s="9">
        <f t="shared" si="8"/>
        <v>17975.729151580781</v>
      </c>
      <c r="N20" s="9">
        <f t="shared" si="9"/>
        <v>0.67924751352680346</v>
      </c>
      <c r="O20" s="9">
        <v>4.472118</v>
      </c>
      <c r="P20" s="24">
        <f t="shared" si="10"/>
        <v>4.4222098818722744</v>
      </c>
      <c r="Q20" s="24">
        <f t="shared" si="16"/>
        <v>4.3378634105531111</v>
      </c>
      <c r="R20" s="24">
        <f t="shared" si="17"/>
        <v>4.2611272744993434</v>
      </c>
      <c r="S20" s="24">
        <f t="shared" si="20"/>
        <v>4.2249662409467037</v>
      </c>
      <c r="T20" s="24">
        <f t="shared" si="22"/>
        <v>4.2171349449303008</v>
      </c>
      <c r="U20" s="24">
        <f t="shared" si="24"/>
        <v>4.21895385041966</v>
      </c>
      <c r="V20" s="24">
        <f t="shared" si="26"/>
        <v>4.2325481337213811</v>
      </c>
      <c r="W20" s="24">
        <f t="shared" si="28"/>
        <v>4.2605955215344382</v>
      </c>
      <c r="X20" s="24">
        <f t="shared" si="32"/>
        <v>4.3015241196660892</v>
      </c>
      <c r="Y20" s="24">
        <f t="shared" si="35"/>
        <v>4.3492282831167461</v>
      </c>
      <c r="Z20" s="24">
        <f t="shared" si="38"/>
        <v>4.3937955793358796</v>
      </c>
      <c r="AA20" s="24">
        <f t="shared" si="41"/>
        <v>4.4230794580498722</v>
      </c>
      <c r="AB20" s="24">
        <f>+(((1+O20/100)^(H20/365)/(1+$O$19/100)^($H$19/365))^(365/(H20-$H$19))-1)*100</f>
        <v>4.4311925874847446</v>
      </c>
      <c r="AD20" s="11">
        <f t="shared" si="18"/>
        <v>47127</v>
      </c>
      <c r="AE20" s="15">
        <f t="shared" si="19"/>
        <v>82800</v>
      </c>
      <c r="AF20" s="25">
        <f t="shared" si="21"/>
        <v>0.80492575504020869</v>
      </c>
      <c r="AG20" s="25">
        <f t="shared" si="23"/>
        <v>0.82648147946178596</v>
      </c>
      <c r="AH20" s="25">
        <f t="shared" si="29"/>
        <v>0.84778713671277706</v>
      </c>
      <c r="AI20" s="25">
        <f t="shared" si="30"/>
        <v>0.86701624237665587</v>
      </c>
      <c r="AJ20" s="25">
        <f t="shared" si="33"/>
        <v>0.88559218875978141</v>
      </c>
      <c r="AK20" s="25">
        <f t="shared" si="36"/>
        <v>0.90385607245953037</v>
      </c>
      <c r="AL20" s="25">
        <f t="shared" si="39"/>
        <v>0.92246140924104703</v>
      </c>
      <c r="AM20" s="25">
        <f t="shared" si="42"/>
        <v>0.94086007269133154</v>
      </c>
      <c r="AN20" s="25">
        <f t="shared" ref="AN20:AN23" si="43">+(1+X17/100)^-(($H17-$H$15)/365)</f>
        <v>0.95991705045326481</v>
      </c>
      <c r="AO20" s="25">
        <f>+(1+Y17/100)^-(($H17-$H$16)/365)</f>
        <v>0.97939256699770227</v>
      </c>
      <c r="AP20" s="13">
        <f>+(1+$AB$3)^-YEARFRAC($AD20,$AD$20)</f>
        <v>1</v>
      </c>
    </row>
    <row r="21" spans="1:45" x14ac:dyDescent="0.75">
      <c r="AD21" s="11">
        <f t="shared" si="18"/>
        <v>47308</v>
      </c>
      <c r="AE21" s="15">
        <f t="shared" si="19"/>
        <v>82100</v>
      </c>
      <c r="AF21" s="25">
        <f t="shared" si="21"/>
        <v>0.78816479683970209</v>
      </c>
      <c r="AG21" s="25">
        <f t="shared" si="23"/>
        <v>0.80927166670078199</v>
      </c>
      <c r="AH21" s="25">
        <f t="shared" si="29"/>
        <v>0.83013367653661463</v>
      </c>
      <c r="AI21" s="25">
        <f t="shared" si="30"/>
        <v>0.84896237479117997</v>
      </c>
      <c r="AJ21" s="25">
        <f t="shared" si="33"/>
        <v>0.86715151449193395</v>
      </c>
      <c r="AK21" s="25">
        <f t="shared" si="36"/>
        <v>0.88503508958638166</v>
      </c>
      <c r="AL21" s="25">
        <f t="shared" si="39"/>
        <v>0.90325300768965511</v>
      </c>
      <c r="AM21" s="25">
        <f t="shared" si="42"/>
        <v>0.92126855601770063</v>
      </c>
      <c r="AN21" s="25">
        <f t="shared" si="43"/>
        <v>0.93992871058731409</v>
      </c>
      <c r="AO21" s="25">
        <f t="shared" ref="AO21:AO23" si="44">+(1+Y18/100)^-(($H18-$H$16)/365)</f>
        <v>0.95899868871197724</v>
      </c>
      <c r="AP21" s="25">
        <f>+(1+Z18/100)^-(($H18-$H$17)/365)</f>
        <v>0.97917701341328134</v>
      </c>
      <c r="AQ21" s="13">
        <f>+(1+$AB$3)^-YEARFRAC($AD21,$AD$21)</f>
        <v>1</v>
      </c>
    </row>
    <row r="22" spans="1:45" x14ac:dyDescent="0.75">
      <c r="AD22" s="11">
        <f t="shared" si="18"/>
        <v>47492</v>
      </c>
      <c r="AE22" s="15">
        <f t="shared" si="19"/>
        <v>81400</v>
      </c>
      <c r="AF22" s="25">
        <f t="shared" si="21"/>
        <v>0.77118446265703189</v>
      </c>
      <c r="AG22" s="25">
        <f t="shared" si="23"/>
        <v>0.79183660311985882</v>
      </c>
      <c r="AH22" s="25">
        <f t="shared" si="29"/>
        <v>0.81224915885655535</v>
      </c>
      <c r="AI22" s="25">
        <f t="shared" si="30"/>
        <v>0.83067220896511229</v>
      </c>
      <c r="AJ22" s="25">
        <f t="shared" si="33"/>
        <v>0.848469479260061</v>
      </c>
      <c r="AK22" s="25">
        <f t="shared" si="36"/>
        <v>0.86596776807592579</v>
      </c>
      <c r="AL22" s="25">
        <f t="shared" si="39"/>
        <v>0.8837931967674082</v>
      </c>
      <c r="AM22" s="25">
        <f t="shared" si="42"/>
        <v>0.90142061556680597</v>
      </c>
      <c r="AN22" s="25">
        <f t="shared" si="43"/>
        <v>0.91967875311946679</v>
      </c>
      <c r="AO22" s="25">
        <f t="shared" si="44"/>
        <v>0.93833788493037518</v>
      </c>
      <c r="AP22" s="25">
        <f t="shared" ref="AP22:AP23" si="45">+(1+Z19/100)^-(($H19-$H$17)/365)</f>
        <v>0.95808148494206036</v>
      </c>
      <c r="AQ22" s="25">
        <f>+(1+AA19/100)^-(($H19-$H$18)/365)</f>
        <v>0.97845585815205716</v>
      </c>
      <c r="AR22" s="13">
        <f>+(1+$AB$3)^-YEARFRAC($AD22,$AD$22)</f>
        <v>1</v>
      </c>
    </row>
    <row r="23" spans="1:45" x14ac:dyDescent="0.75">
      <c r="AD23" s="11">
        <f t="shared" si="18"/>
        <v>47673</v>
      </c>
      <c r="AE23" s="15">
        <f t="shared" si="19"/>
        <v>80700</v>
      </c>
      <c r="AF23" s="25">
        <f t="shared" si="21"/>
        <v>0.75478026594334802</v>
      </c>
      <c r="AG23" s="25">
        <f t="shared" si="23"/>
        <v>0.77499310583527892</v>
      </c>
      <c r="AH23" s="25">
        <f t="shared" si="29"/>
        <v>0.79497145731093499</v>
      </c>
      <c r="AI23" s="25">
        <f t="shared" si="30"/>
        <v>0.81300262278918456</v>
      </c>
      <c r="AJ23" s="25">
        <f t="shared" si="33"/>
        <v>0.83042131968565103</v>
      </c>
      <c r="AK23" s="25">
        <f t="shared" si="36"/>
        <v>0.84754739486679154</v>
      </c>
      <c r="AL23" s="25">
        <f t="shared" si="39"/>
        <v>0.86499365119041638</v>
      </c>
      <c r="AM23" s="25">
        <f t="shared" si="42"/>
        <v>0.88224610957561767</v>
      </c>
      <c r="AN23" s="25">
        <f t="shared" si="43"/>
        <v>0.90011587042394581</v>
      </c>
      <c r="AO23" s="25">
        <f t="shared" si="44"/>
        <v>0.91837809580901908</v>
      </c>
      <c r="AP23" s="25">
        <f t="shared" si="45"/>
        <v>0.93770172120488793</v>
      </c>
      <c r="AQ23" s="25">
        <f>+(1+AA20/100)^-(($H20-$H$18)/365)</f>
        <v>0.95764270235080773</v>
      </c>
      <c r="AR23" s="25">
        <f>+(1+AB20/100)^-(($H20-$H$19)/365)</f>
        <v>0.9787285694823703</v>
      </c>
      <c r="AS23" s="13">
        <f>+(1+$AB$3)^-YEARFRAC($AD23,$AD$23)</f>
        <v>1</v>
      </c>
    </row>
    <row r="25" spans="1:45" x14ac:dyDescent="0.75">
      <c r="AF25">
        <v>1</v>
      </c>
      <c r="AG25">
        <f>+AF25+1</f>
        <v>2</v>
      </c>
      <c r="AH25">
        <f t="shared" ref="AH25:AS25" si="46">+AG25+1</f>
        <v>3</v>
      </c>
      <c r="AI25">
        <f t="shared" si="46"/>
        <v>4</v>
      </c>
      <c r="AJ25">
        <f t="shared" si="46"/>
        <v>5</v>
      </c>
      <c r="AK25">
        <f t="shared" si="46"/>
        <v>6</v>
      </c>
      <c r="AL25">
        <f t="shared" si="46"/>
        <v>7</v>
      </c>
      <c r="AM25">
        <f t="shared" si="46"/>
        <v>8</v>
      </c>
      <c r="AN25">
        <f t="shared" si="46"/>
        <v>9</v>
      </c>
      <c r="AO25">
        <f t="shared" si="46"/>
        <v>10</v>
      </c>
      <c r="AP25">
        <f t="shared" si="46"/>
        <v>11</v>
      </c>
      <c r="AQ25">
        <f t="shared" si="46"/>
        <v>12</v>
      </c>
      <c r="AR25">
        <f t="shared" si="46"/>
        <v>13</v>
      </c>
      <c r="AS25">
        <f t="shared" si="46"/>
        <v>14</v>
      </c>
    </row>
    <row r="26" spans="1:45" x14ac:dyDescent="0.75">
      <c r="AD26" t="s">
        <v>47</v>
      </c>
      <c r="AF26" s="25">
        <f>+AB13/2</f>
        <v>0.88320580247479785</v>
      </c>
      <c r="AG26" s="25">
        <f>+(1-$AF$26)^(AG$25-$AF$25)*$AF$26</f>
        <v>0.10315331294964621</v>
      </c>
      <c r="AH26" s="25">
        <f>+(1-$AF$26)^(AH$25-$AF$25)*$AF$26</f>
        <v>1.2047708408019973E-2</v>
      </c>
      <c r="AI26" s="25">
        <f t="shared" ref="AI26:AS26" si="47">+(1-$AF$26)^(AI$25-$AF$25)*$AF$26</f>
        <v>1.4071024355323232E-3</v>
      </c>
      <c r="AJ26" s="25">
        <f t="shared" si="47"/>
        <v>1.6434139979375521E-4</v>
      </c>
      <c r="AK26" s="25">
        <f t="shared" si="47"/>
        <v>1.9194121909080059E-5</v>
      </c>
      <c r="AL26" s="25">
        <f t="shared" si="47"/>
        <v>2.2417620655719067E-6</v>
      </c>
      <c r="AM26" s="25">
        <f t="shared" si="47"/>
        <v>2.6182480149091043E-7</v>
      </c>
      <c r="AN26" s="25">
        <f t="shared" si="47"/>
        <v>3.0579617582326238E-8</v>
      </c>
      <c r="AO26" s="25">
        <f t="shared" si="47"/>
        <v>3.571521896155355E-9</v>
      </c>
      <c r="AP26" s="25">
        <f t="shared" si="47"/>
        <v>4.1713303380515302E-10</v>
      </c>
      <c r="AQ26" s="25">
        <f t="shared" si="47"/>
        <v>4.8718717944525873E-11</v>
      </c>
      <c r="AR26" s="25">
        <f t="shared" si="47"/>
        <v>5.6900635667875648E-12</v>
      </c>
      <c r="AS26" s="25">
        <f t="shared" si="47"/>
        <v>6.6456640815034316E-13</v>
      </c>
    </row>
    <row r="27" spans="1:45" x14ac:dyDescent="0.75">
      <c r="AD27" t="s">
        <v>49</v>
      </c>
      <c r="AF27" s="28">
        <f>+AF6*AF7</f>
        <v>57.895642066639411</v>
      </c>
      <c r="AG27" s="28">
        <f t="shared" ref="AG27:AS27" si="48">+AG6*AG7</f>
        <v>58.292129641485822</v>
      </c>
      <c r="AH27" s="28">
        <f t="shared" si="48"/>
        <v>55.955996977327132</v>
      </c>
      <c r="AI27" s="28">
        <f t="shared" si="48"/>
        <v>50.924903541556695</v>
      </c>
      <c r="AJ27" s="28">
        <f t="shared" si="48"/>
        <v>45.978729920931002</v>
      </c>
      <c r="AK27" s="28">
        <f t="shared" si="48"/>
        <v>41.085127452632882</v>
      </c>
      <c r="AL27" s="28">
        <f t="shared" si="48"/>
        <v>36.289442216600293</v>
      </c>
      <c r="AM27" s="28">
        <f t="shared" si="48"/>
        <v>31.55219616269083</v>
      </c>
      <c r="AN27" s="28">
        <f t="shared" si="48"/>
        <v>26.908637880475386</v>
      </c>
      <c r="AO27" s="28">
        <f t="shared" si="48"/>
        <v>22.137981720102793</v>
      </c>
      <c r="AP27" s="28">
        <f t="shared" si="48"/>
        <v>17.490599051307221</v>
      </c>
      <c r="AQ27" s="28">
        <f t="shared" si="48"/>
        <v>12.950239099208117</v>
      </c>
      <c r="AR27" s="28">
        <f t="shared" si="48"/>
        <v>8.527265491440799</v>
      </c>
      <c r="AS27" s="28">
        <f t="shared" si="48"/>
        <v>4.2099291321546071</v>
      </c>
    </row>
    <row r="28" spans="1:45" x14ac:dyDescent="0.75">
      <c r="AD28" t="s">
        <v>50</v>
      </c>
      <c r="AF28" s="29">
        <f>+AF27*AF26</f>
        <v>51.133767011259927</v>
      </c>
      <c r="AG28" s="29">
        <f t="shared" ref="AG28:AS28" si="49">+AG27*AG26</f>
        <v>6.0130262914095347</v>
      </c>
      <c r="AH28" s="29">
        <f t="shared" si="49"/>
        <v>0.67414153526288423</v>
      </c>
      <c r="AI28" s="29">
        <f t="shared" si="49"/>
        <v>7.165655580257306E-2</v>
      </c>
      <c r="AJ28" s="29">
        <f t="shared" si="49"/>
        <v>7.5562088359448169E-3</v>
      </c>
      <c r="AK28" s="29">
        <f t="shared" si="49"/>
        <v>7.8859294497592744E-4</v>
      </c>
      <c r="AL28" s="29">
        <f t="shared" si="49"/>
        <v>8.1352294941938226E-5</v>
      </c>
      <c r="AM28" s="29">
        <f t="shared" si="49"/>
        <v>8.2611474968987933E-6</v>
      </c>
      <c r="AN28" s="29">
        <f t="shared" si="49"/>
        <v>8.2285585604623492E-7</v>
      </c>
      <c r="AO28" s="29">
        <f t="shared" si="49"/>
        <v>7.9066286450034117E-8</v>
      </c>
      <c r="AP28" s="29">
        <f t="shared" si="49"/>
        <v>7.2959066453413126E-9</v>
      </c>
      <c r="AQ28" s="29">
        <f t="shared" si="49"/>
        <v>6.3091904598849108E-10</v>
      </c>
      <c r="AR28" s="29">
        <f t="shared" si="49"/>
        <v>4.8520682697172148E-11</v>
      </c>
      <c r="AS28" s="29">
        <f t="shared" si="49"/>
        <v>2.7977774819234787E-12</v>
      </c>
    </row>
    <row r="29" spans="1:45" x14ac:dyDescent="0.75">
      <c r="AD29" t="s">
        <v>24</v>
      </c>
      <c r="AF29" s="29">
        <f>+SUM(AF28:AS28)</f>
        <v>57.901026718858581</v>
      </c>
    </row>
    <row r="30" spans="1:45" x14ac:dyDescent="0.75">
      <c r="AD30" t="s">
        <v>21</v>
      </c>
      <c r="AF30" s="12">
        <f>+AF29-AB10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+FFant!AB11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2023-11-14T23:20:05Z</dcterms:modified>
</cp:coreProperties>
</file>