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e8ede75418a1548/Documenten/Thesis/PythonThesis/instance_generation/"/>
    </mc:Choice>
  </mc:AlternateContent>
  <xr:revisionPtr revIDLastSave="1047" documentId="8_{56CEBB5C-FE1D-4790-B4FB-18875D08EB93}" xr6:coauthVersionLast="47" xr6:coauthVersionMax="47" xr10:uidLastSave="{41C424A6-6F1B-4716-BE51-CA3ACCA7149A}"/>
  <bookViews>
    <workbookView xWindow="-108" yWindow="-108" windowWidth="23256" windowHeight="12456" xr2:uid="{E4ECFBC7-25E5-4900-B31D-A675A43F9E42}"/>
  </bookViews>
  <sheets>
    <sheet name="distinct_flight_paths_full" sheetId="1" r:id="rId1"/>
    <sheet name="rating_per_OD_pair" sheetId="2" r:id="rId2"/>
    <sheet name="percentage_OD_matrix" sheetId="3" r:id="rId3"/>
    <sheet name="actual_demand_matrix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3" l="1"/>
  <c r="BD17" i="2"/>
  <c r="BD16" i="2"/>
  <c r="BD7" i="2"/>
  <c r="AY18" i="2"/>
  <c r="AY16" i="2"/>
  <c r="AY7" i="2"/>
  <c r="AU18" i="2"/>
  <c r="AU17" i="2"/>
  <c r="AU7" i="2"/>
  <c r="AP18" i="2"/>
  <c r="AP17" i="2"/>
  <c r="AP16" i="2"/>
  <c r="AP7" i="2"/>
  <c r="AK8" i="2"/>
  <c r="AK7" i="2"/>
  <c r="AF8" i="2"/>
  <c r="AF7" i="2"/>
  <c r="AA8" i="2"/>
  <c r="AA7" i="2"/>
  <c r="Q8" i="2"/>
  <c r="Q7" i="2"/>
  <c r="V8" i="2"/>
  <c r="V7" i="2"/>
  <c r="L8" i="2"/>
  <c r="L7" i="2"/>
  <c r="G14" i="2"/>
  <c r="G13" i="2"/>
  <c r="G12" i="2"/>
  <c r="G11" i="2"/>
  <c r="G10" i="2"/>
  <c r="G9" i="2"/>
  <c r="B18" i="2"/>
  <c r="B17" i="2"/>
  <c r="B16" i="2"/>
  <c r="B15" i="2"/>
  <c r="B14" i="2"/>
  <c r="B13" i="2"/>
  <c r="B12" i="2"/>
  <c r="B11" i="2"/>
  <c r="B10" i="2"/>
  <c r="B9" i="2"/>
  <c r="L4" i="3" l="1"/>
  <c r="M4" i="3"/>
  <c r="L5" i="3"/>
  <c r="M5" i="3"/>
  <c r="L6" i="3"/>
  <c r="M6" i="3"/>
  <c r="L7" i="3"/>
  <c r="M7" i="3"/>
  <c r="L8" i="3"/>
  <c r="M8" i="3"/>
  <c r="L9" i="3"/>
  <c r="M9" i="3"/>
  <c r="L10" i="3"/>
  <c r="M10" i="3"/>
  <c r="L11" i="3"/>
  <c r="M11" i="3"/>
  <c r="L12" i="3"/>
  <c r="M12" i="3"/>
  <c r="L13" i="3"/>
  <c r="M13" i="3"/>
  <c r="L14" i="3"/>
  <c r="M14" i="3"/>
  <c r="M3" i="3"/>
  <c r="L3" i="3"/>
  <c r="K4" i="3"/>
  <c r="K5" i="3"/>
  <c r="K6" i="3"/>
  <c r="K7" i="3"/>
  <c r="K8" i="3"/>
  <c r="K9" i="3"/>
  <c r="K10" i="3"/>
  <c r="K11" i="3"/>
  <c r="K12" i="3"/>
  <c r="K13" i="3"/>
  <c r="K14" i="3"/>
  <c r="K3" i="3"/>
  <c r="J4" i="3"/>
  <c r="J5" i="3"/>
  <c r="J6" i="3"/>
  <c r="J7" i="3"/>
  <c r="J8" i="3"/>
  <c r="J9" i="3"/>
  <c r="J10" i="3"/>
  <c r="J11" i="3"/>
  <c r="J12" i="3"/>
  <c r="J13" i="3"/>
  <c r="J14" i="3"/>
  <c r="J3" i="3"/>
  <c r="I4" i="3"/>
  <c r="I5" i="3"/>
  <c r="I6" i="3"/>
  <c r="I7" i="3"/>
  <c r="I8" i="3"/>
  <c r="I9" i="3"/>
  <c r="I10" i="3"/>
  <c r="I11" i="3"/>
  <c r="I12" i="3"/>
  <c r="I13" i="3"/>
  <c r="I14" i="3"/>
  <c r="I3" i="3"/>
  <c r="H4" i="3"/>
  <c r="H5" i="3"/>
  <c r="H6" i="3"/>
  <c r="H7" i="3"/>
  <c r="H8" i="3"/>
  <c r="H9" i="3"/>
  <c r="H10" i="3"/>
  <c r="H11" i="3"/>
  <c r="H12" i="3"/>
  <c r="H13" i="3"/>
  <c r="H14" i="3"/>
  <c r="H3" i="3"/>
  <c r="G4" i="3"/>
  <c r="G5" i="3"/>
  <c r="G6" i="3"/>
  <c r="G7" i="3"/>
  <c r="G8" i="3"/>
  <c r="G9" i="3"/>
  <c r="G10" i="3"/>
  <c r="G11" i="3"/>
  <c r="G12" i="3"/>
  <c r="G13" i="3"/>
  <c r="G14" i="3"/>
  <c r="G3" i="3"/>
  <c r="F4" i="3"/>
  <c r="F5" i="3"/>
  <c r="F6" i="3"/>
  <c r="F7" i="3"/>
  <c r="F8" i="3"/>
  <c r="F9" i="3"/>
  <c r="F10" i="3"/>
  <c r="F11" i="3"/>
  <c r="F12" i="3"/>
  <c r="F13" i="3"/>
  <c r="F14" i="3"/>
  <c r="F3" i="3"/>
  <c r="E4" i="3"/>
  <c r="E5" i="3"/>
  <c r="E6" i="3"/>
  <c r="E7" i="3"/>
  <c r="E8" i="3"/>
  <c r="E9" i="3"/>
  <c r="E10" i="3"/>
  <c r="E11" i="3"/>
  <c r="E12" i="3"/>
  <c r="E13" i="3"/>
  <c r="E14" i="3"/>
  <c r="E3" i="3"/>
  <c r="D4" i="3"/>
  <c r="D5" i="3"/>
  <c r="D6" i="3"/>
  <c r="D7" i="3"/>
  <c r="D8" i="3"/>
  <c r="D9" i="3"/>
  <c r="D10" i="3"/>
  <c r="D11" i="3"/>
  <c r="D12" i="3"/>
  <c r="D13" i="3"/>
  <c r="D14" i="3"/>
  <c r="D3" i="3"/>
  <c r="C4" i="3"/>
  <c r="C5" i="3"/>
  <c r="C6" i="3"/>
  <c r="C7" i="3"/>
  <c r="C8" i="3"/>
  <c r="C9" i="3"/>
  <c r="C10" i="3"/>
  <c r="C11" i="3"/>
  <c r="C12" i="3"/>
  <c r="C13" i="3"/>
  <c r="C14" i="3"/>
  <c r="C3" i="3"/>
  <c r="B4" i="3"/>
  <c r="B5" i="3"/>
  <c r="B6" i="3"/>
  <c r="B7" i="3"/>
  <c r="B8" i="3"/>
  <c r="B9" i="3"/>
  <c r="B10" i="3"/>
  <c r="B11" i="3"/>
  <c r="B12" i="3"/>
  <c r="B13" i="3"/>
  <c r="B14" i="3"/>
  <c r="B3" i="3"/>
  <c r="M15" i="1"/>
  <c r="L15" i="1"/>
  <c r="K15" i="1"/>
  <c r="J15" i="1"/>
  <c r="I15" i="1"/>
  <c r="H15" i="1"/>
  <c r="G15" i="1"/>
  <c r="F15" i="1"/>
  <c r="E15" i="1"/>
  <c r="D15" i="1"/>
  <c r="C15" i="1"/>
  <c r="B15" i="1"/>
  <c r="B21" i="3" l="1"/>
  <c r="T6" i="3"/>
  <c r="Z6" i="3"/>
  <c r="H21" i="3"/>
  <c r="T12" i="3"/>
  <c r="B27" i="3"/>
  <c r="AB12" i="3"/>
  <c r="J27" i="3"/>
  <c r="AC12" i="3"/>
  <c r="K27" i="3"/>
  <c r="AD14" i="3"/>
  <c r="L29" i="3"/>
  <c r="U6" i="3"/>
  <c r="C21" i="3"/>
  <c r="G21" i="3"/>
  <c r="Y6" i="3"/>
  <c r="AD9" i="3"/>
  <c r="L24" i="3"/>
  <c r="J28" i="3"/>
  <c r="AB13" i="3"/>
  <c r="B26" i="3"/>
  <c r="T11" i="3"/>
  <c r="U11" i="3"/>
  <c r="C26" i="3"/>
  <c r="D26" i="3"/>
  <c r="V11" i="3"/>
  <c r="W11" i="3"/>
  <c r="E26" i="3"/>
  <c r="F26" i="3"/>
  <c r="X11" i="3"/>
  <c r="Y11" i="3"/>
  <c r="G26" i="3"/>
  <c r="Z11" i="3"/>
  <c r="H26" i="3"/>
  <c r="I26" i="3"/>
  <c r="AA11" i="3"/>
  <c r="J26" i="3"/>
  <c r="AB11" i="3"/>
  <c r="AC11" i="3"/>
  <c r="K26" i="3"/>
  <c r="M28" i="3"/>
  <c r="AE13" i="3"/>
  <c r="W6" i="3"/>
  <c r="E21" i="3"/>
  <c r="M18" i="3"/>
  <c r="AE3" i="3"/>
  <c r="K28" i="3"/>
  <c r="AC13" i="3"/>
  <c r="U10" i="3"/>
  <c r="C25" i="3"/>
  <c r="D25" i="3"/>
  <c r="V10" i="3"/>
  <c r="E25" i="3"/>
  <c r="W10" i="3"/>
  <c r="F25" i="3"/>
  <c r="X10" i="3"/>
  <c r="G25" i="3"/>
  <c r="Y10" i="3"/>
  <c r="H25" i="3"/>
  <c r="Z10" i="3"/>
  <c r="AA10" i="3"/>
  <c r="I25" i="3"/>
  <c r="AD13" i="3"/>
  <c r="L28" i="3"/>
  <c r="X6" i="3"/>
  <c r="F21" i="3"/>
  <c r="B29" i="3"/>
  <c r="T14" i="3"/>
  <c r="J29" i="3"/>
  <c r="AB14" i="3"/>
  <c r="T13" i="3"/>
  <c r="B28" i="3"/>
  <c r="M29" i="3"/>
  <c r="AE14" i="3"/>
  <c r="C24" i="3"/>
  <c r="U9" i="3"/>
  <c r="D24" i="3"/>
  <c r="V9" i="3"/>
  <c r="E24" i="3"/>
  <c r="W9" i="3"/>
  <c r="X9" i="3"/>
  <c r="F24" i="3"/>
  <c r="Y9" i="3"/>
  <c r="G24" i="3"/>
  <c r="Z9" i="3"/>
  <c r="H24" i="3"/>
  <c r="AA9" i="3"/>
  <c r="I24" i="3"/>
  <c r="AB9" i="3"/>
  <c r="J24" i="3"/>
  <c r="K24" i="3"/>
  <c r="AC9" i="3"/>
  <c r="M27" i="3"/>
  <c r="AE12" i="3"/>
  <c r="B23" i="3"/>
  <c r="T8" i="3"/>
  <c r="U8" i="3"/>
  <c r="C23" i="3"/>
  <c r="V8" i="3"/>
  <c r="D23" i="3"/>
  <c r="W8" i="3"/>
  <c r="E23" i="3"/>
  <c r="F23" i="3"/>
  <c r="X8" i="3"/>
  <c r="G23" i="3"/>
  <c r="Y8" i="3"/>
  <c r="Z8" i="3"/>
  <c r="H23" i="3"/>
  <c r="I23" i="3"/>
  <c r="AA8" i="3"/>
  <c r="AD12" i="3"/>
  <c r="L27" i="3"/>
  <c r="K29" i="3"/>
  <c r="AC14" i="3"/>
  <c r="T7" i="3"/>
  <c r="B22" i="3"/>
  <c r="U7" i="3"/>
  <c r="C22" i="3"/>
  <c r="D22" i="3"/>
  <c r="V7" i="3"/>
  <c r="E22" i="3"/>
  <c r="W7" i="3"/>
  <c r="F22" i="3"/>
  <c r="X7" i="3"/>
  <c r="G22" i="3"/>
  <c r="Y7" i="3"/>
  <c r="H22" i="3"/>
  <c r="Z7" i="3"/>
  <c r="I22" i="3"/>
  <c r="AA7" i="3"/>
  <c r="AE11" i="3"/>
  <c r="M26" i="3"/>
  <c r="AE4" i="3"/>
  <c r="M19" i="3"/>
  <c r="V6" i="3"/>
  <c r="D21" i="3"/>
  <c r="AA6" i="3"/>
  <c r="I21" i="3"/>
  <c r="AD11" i="3"/>
  <c r="L26" i="3"/>
  <c r="C20" i="3"/>
  <c r="U5" i="3"/>
  <c r="E20" i="3"/>
  <c r="W5" i="3"/>
  <c r="X5" i="3"/>
  <c r="F20" i="3"/>
  <c r="H20" i="3"/>
  <c r="Z5" i="3"/>
  <c r="T4" i="3"/>
  <c r="B19" i="3"/>
  <c r="C19" i="3"/>
  <c r="U4" i="3"/>
  <c r="V4" i="3"/>
  <c r="D19" i="3"/>
  <c r="W4" i="3"/>
  <c r="E19" i="3"/>
  <c r="F19" i="3"/>
  <c r="X4" i="3"/>
  <c r="G19" i="3"/>
  <c r="Y4" i="3"/>
  <c r="H19" i="3"/>
  <c r="Z4" i="3"/>
  <c r="AA4" i="3"/>
  <c r="I19" i="3"/>
  <c r="J19" i="3"/>
  <c r="AB4" i="3"/>
  <c r="AC4" i="3"/>
  <c r="K19" i="3"/>
  <c r="AD4" i="3"/>
  <c r="L19" i="3"/>
  <c r="T5" i="3"/>
  <c r="B20" i="3"/>
  <c r="D20" i="3"/>
  <c r="V5" i="3"/>
  <c r="G20" i="3"/>
  <c r="Y5" i="3"/>
  <c r="AA5" i="3"/>
  <c r="I20" i="3"/>
  <c r="T3" i="3"/>
  <c r="B18" i="3"/>
  <c r="U3" i="3"/>
  <c r="C18" i="3"/>
  <c r="V3" i="3"/>
  <c r="D18" i="3"/>
  <c r="W3" i="3"/>
  <c r="E18" i="3"/>
  <c r="X3" i="3"/>
  <c r="F18" i="3"/>
  <c r="Y3" i="3"/>
  <c r="G18" i="3"/>
  <c r="Z3" i="3"/>
  <c r="H18" i="3"/>
  <c r="AA3" i="3"/>
  <c r="I18" i="3"/>
  <c r="AB3" i="3"/>
  <c r="J18" i="3"/>
  <c r="AC3" i="3"/>
  <c r="K18" i="3"/>
  <c r="AD3" i="3"/>
  <c r="L18" i="3"/>
  <c r="M24" i="3"/>
  <c r="AE9" i="3"/>
  <c r="B24" i="3"/>
  <c r="T9" i="3"/>
  <c r="T10" i="3"/>
  <c r="B25" i="3"/>
  <c r="U14" i="3"/>
  <c r="C29" i="3"/>
  <c r="C28" i="3"/>
  <c r="U13" i="3"/>
  <c r="C27" i="3"/>
  <c r="U12" i="3"/>
  <c r="AE10" i="3"/>
  <c r="M25" i="3"/>
  <c r="AE8" i="3"/>
  <c r="M23" i="3"/>
  <c r="AE7" i="3"/>
  <c r="M22" i="3"/>
  <c r="M21" i="3"/>
  <c r="AE6" i="3"/>
  <c r="AE5" i="3"/>
  <c r="M20" i="3"/>
  <c r="L20" i="3"/>
  <c r="AD5" i="3"/>
  <c r="AD7" i="3"/>
  <c r="L22" i="3"/>
  <c r="L21" i="3"/>
  <c r="AD6" i="3"/>
  <c r="L23" i="3"/>
  <c r="AD8" i="3"/>
  <c r="L25" i="3"/>
  <c r="AD10" i="3"/>
  <c r="AC10" i="3"/>
  <c r="K25" i="3"/>
  <c r="AB10" i="3"/>
  <c r="J25" i="3"/>
  <c r="K23" i="3"/>
  <c r="AC8" i="3"/>
  <c r="K22" i="3"/>
  <c r="AC7" i="3"/>
  <c r="AC5" i="3"/>
  <c r="K20" i="3"/>
  <c r="K21" i="3"/>
  <c r="AC6" i="3"/>
  <c r="J23" i="3"/>
  <c r="AB8" i="3"/>
  <c r="AB7" i="3"/>
  <c r="J22" i="3"/>
  <c r="J20" i="3"/>
  <c r="AB5" i="3"/>
  <c r="AB6" i="3"/>
  <c r="J21" i="3"/>
  <c r="AA14" i="3"/>
  <c r="I29" i="3"/>
  <c r="I28" i="3"/>
  <c r="AA13" i="3"/>
  <c r="AA12" i="3"/>
  <c r="I27" i="3"/>
  <c r="H28" i="3"/>
  <c r="Z13" i="3"/>
  <c r="Z14" i="3"/>
  <c r="H29" i="3"/>
  <c r="Z12" i="3"/>
  <c r="H27" i="3"/>
  <c r="Y14" i="3"/>
  <c r="G29" i="3"/>
  <c r="G28" i="3"/>
  <c r="Y13" i="3"/>
  <c r="G27" i="3"/>
  <c r="Y12" i="3"/>
  <c r="X14" i="3"/>
  <c r="F29" i="3"/>
  <c r="X12" i="3"/>
  <c r="F27" i="3"/>
  <c r="F28" i="3"/>
  <c r="X13" i="3"/>
  <c r="W13" i="3"/>
  <c r="E28" i="3"/>
  <c r="W14" i="3"/>
  <c r="E29" i="3"/>
  <c r="W12" i="3"/>
  <c r="E27" i="3"/>
  <c r="V14" i="3"/>
  <c r="D29" i="3"/>
  <c r="V13" i="3"/>
  <c r="D28" i="3"/>
  <c r="V12" i="3"/>
  <c r="D27" i="3"/>
  <c r="E30" i="3" l="1"/>
  <c r="E34" i="3" s="1"/>
  <c r="F30" i="3"/>
  <c r="F37" i="3" s="1"/>
  <c r="F5" i="5" s="1"/>
  <c r="B30" i="3"/>
  <c r="B39" i="3" s="1"/>
  <c r="B7" i="5" s="1"/>
  <c r="I30" i="3"/>
  <c r="I43" i="3" s="1"/>
  <c r="I11" i="5" s="1"/>
  <c r="G30" i="3"/>
  <c r="G34" i="3" s="1"/>
  <c r="G2" i="5" s="1"/>
  <c r="C30" i="3"/>
  <c r="C44" i="3" s="1"/>
  <c r="C12" i="5" s="1"/>
  <c r="M30" i="3"/>
  <c r="M34" i="3" s="1"/>
  <c r="K30" i="3"/>
  <c r="K44" i="3" s="1"/>
  <c r="K12" i="5" s="1"/>
  <c r="D30" i="3"/>
  <c r="D34" i="3" s="1"/>
  <c r="D2" i="5" s="1"/>
  <c r="L30" i="3"/>
  <c r="L34" i="3" s="1"/>
  <c r="J30" i="3"/>
  <c r="J44" i="3" s="1"/>
  <c r="J12" i="5" s="1"/>
  <c r="H30" i="3"/>
  <c r="I37" i="3" l="1"/>
  <c r="I5" i="5" s="1"/>
  <c r="B34" i="3"/>
  <c r="B40" i="3"/>
  <c r="B8" i="5" s="1"/>
  <c r="B3" i="5"/>
  <c r="E40" i="3"/>
  <c r="E8" i="5" s="1"/>
  <c r="E42" i="3"/>
  <c r="E10" i="5" s="1"/>
  <c r="E44" i="3"/>
  <c r="E12" i="5" s="1"/>
  <c r="E36" i="3"/>
  <c r="E4" i="5" s="1"/>
  <c r="E41" i="3"/>
  <c r="E9" i="5" s="1"/>
  <c r="E37" i="3"/>
  <c r="E5" i="5" s="1"/>
  <c r="B45" i="3"/>
  <c r="B13" i="5" s="1"/>
  <c r="B43" i="3"/>
  <c r="B11" i="5" s="1"/>
  <c r="B42" i="3"/>
  <c r="B10" i="5" s="1"/>
  <c r="I45" i="3"/>
  <c r="I13" i="5" s="1"/>
  <c r="E43" i="3"/>
  <c r="E11" i="5" s="1"/>
  <c r="E35" i="3"/>
  <c r="E3" i="5" s="1"/>
  <c r="E39" i="3"/>
  <c r="E7" i="5" s="1"/>
  <c r="B44" i="3"/>
  <c r="B12" i="5" s="1"/>
  <c r="E38" i="3"/>
  <c r="E6" i="5" s="1"/>
  <c r="E45" i="3"/>
  <c r="E13" i="5" s="1"/>
  <c r="I34" i="3"/>
  <c r="I2" i="5" s="1"/>
  <c r="G35" i="3"/>
  <c r="G3" i="5" s="1"/>
  <c r="G40" i="3"/>
  <c r="G8" i="5" s="1"/>
  <c r="G44" i="3"/>
  <c r="G12" i="5" s="1"/>
  <c r="G45" i="3"/>
  <c r="G13" i="5" s="1"/>
  <c r="G39" i="3"/>
  <c r="G7" i="5" s="1"/>
  <c r="G38" i="3"/>
  <c r="G6" i="5" s="1"/>
  <c r="B38" i="3"/>
  <c r="B6" i="5" s="1"/>
  <c r="B37" i="3"/>
  <c r="B5" i="5" s="1"/>
  <c r="B36" i="3"/>
  <c r="B4" i="5" s="1"/>
  <c r="I42" i="3"/>
  <c r="I10" i="5" s="1"/>
  <c r="I38" i="3"/>
  <c r="I6" i="5" s="1"/>
  <c r="G37" i="3"/>
  <c r="G5" i="5" s="1"/>
  <c r="G36" i="3"/>
  <c r="G4" i="5" s="1"/>
  <c r="G41" i="3"/>
  <c r="G9" i="5" s="1"/>
  <c r="F38" i="3"/>
  <c r="F6" i="5" s="1"/>
  <c r="F35" i="3"/>
  <c r="F3" i="5" s="1"/>
  <c r="F42" i="3"/>
  <c r="F10" i="5" s="1"/>
  <c r="F34" i="3"/>
  <c r="F2" i="5" s="1"/>
  <c r="F43" i="3"/>
  <c r="F11" i="5" s="1"/>
  <c r="F40" i="3"/>
  <c r="F8" i="5" s="1"/>
  <c r="F45" i="3"/>
  <c r="F13" i="5" s="1"/>
  <c r="F36" i="3"/>
  <c r="F4" i="5" s="1"/>
  <c r="F44" i="3"/>
  <c r="F12" i="5" s="1"/>
  <c r="F41" i="3"/>
  <c r="F9" i="5" s="1"/>
  <c r="F39" i="3"/>
  <c r="F7" i="5" s="1"/>
  <c r="C35" i="3"/>
  <c r="C3" i="5" s="1"/>
  <c r="C45" i="3"/>
  <c r="C13" i="5" s="1"/>
  <c r="C41" i="3"/>
  <c r="C9" i="5" s="1"/>
  <c r="C36" i="3"/>
  <c r="C4" i="5" s="1"/>
  <c r="B41" i="3"/>
  <c r="B9" i="5" s="1"/>
  <c r="I41" i="3"/>
  <c r="I9" i="5" s="1"/>
  <c r="I39" i="3"/>
  <c r="I7" i="5" s="1"/>
  <c r="I40" i="3"/>
  <c r="I8" i="5" s="1"/>
  <c r="I44" i="3"/>
  <c r="I12" i="5" s="1"/>
  <c r="I35" i="3"/>
  <c r="I3" i="5" s="1"/>
  <c r="G42" i="3"/>
  <c r="G10" i="5" s="1"/>
  <c r="I36" i="3"/>
  <c r="I4" i="5" s="1"/>
  <c r="G43" i="3"/>
  <c r="G11" i="5" s="1"/>
  <c r="K40" i="3"/>
  <c r="K8" i="5" s="1"/>
  <c r="K36" i="3"/>
  <c r="K4" i="5" s="1"/>
  <c r="M36" i="3"/>
  <c r="M4" i="5" s="1"/>
  <c r="K34" i="3"/>
  <c r="K2" i="5" s="1"/>
  <c r="K43" i="3"/>
  <c r="K11" i="5" s="1"/>
  <c r="K39" i="3"/>
  <c r="K7" i="5" s="1"/>
  <c r="C37" i="3"/>
  <c r="C5" i="5" s="1"/>
  <c r="C40" i="3"/>
  <c r="C8" i="5" s="1"/>
  <c r="C42" i="3"/>
  <c r="C10" i="5" s="1"/>
  <c r="C38" i="3"/>
  <c r="C6" i="5" s="1"/>
  <c r="C39" i="3"/>
  <c r="C7" i="5" s="1"/>
  <c r="C43" i="3"/>
  <c r="C11" i="5" s="1"/>
  <c r="C34" i="3"/>
  <c r="C2" i="5" s="1"/>
  <c r="M39" i="3"/>
  <c r="M7" i="5" s="1"/>
  <c r="M40" i="3"/>
  <c r="M8" i="5" s="1"/>
  <c r="M35" i="3"/>
  <c r="M3" i="5" s="1"/>
  <c r="M45" i="3"/>
  <c r="M13" i="5" s="1"/>
  <c r="M44" i="3"/>
  <c r="M12" i="5" s="1"/>
  <c r="M42" i="3"/>
  <c r="M10" i="5" s="1"/>
  <c r="M37" i="3"/>
  <c r="M5" i="5" s="1"/>
  <c r="M38" i="3"/>
  <c r="M6" i="5" s="1"/>
  <c r="M43" i="3"/>
  <c r="M11" i="5" s="1"/>
  <c r="M41" i="3"/>
  <c r="M9" i="5" s="1"/>
  <c r="K35" i="3"/>
  <c r="K3" i="5" s="1"/>
  <c r="K42" i="3"/>
  <c r="K10" i="5" s="1"/>
  <c r="K38" i="3"/>
  <c r="K6" i="5" s="1"/>
  <c r="K45" i="3"/>
  <c r="K13" i="5" s="1"/>
  <c r="K41" i="3"/>
  <c r="K9" i="5" s="1"/>
  <c r="K37" i="3"/>
  <c r="K5" i="5" s="1"/>
  <c r="D40" i="3"/>
  <c r="D8" i="5" s="1"/>
  <c r="D41" i="3"/>
  <c r="D9" i="5" s="1"/>
  <c r="D45" i="3"/>
  <c r="D13" i="5" s="1"/>
  <c r="D44" i="3"/>
  <c r="D12" i="5" s="1"/>
  <c r="D42" i="3"/>
  <c r="D10" i="5" s="1"/>
  <c r="D37" i="3"/>
  <c r="D5" i="5" s="1"/>
  <c r="D43" i="3"/>
  <c r="D11" i="5" s="1"/>
  <c r="D38" i="3"/>
  <c r="D6" i="5" s="1"/>
  <c r="D39" i="3"/>
  <c r="D7" i="5" s="1"/>
  <c r="D36" i="3"/>
  <c r="D4" i="5" s="1"/>
  <c r="D35" i="3"/>
  <c r="M2" i="5"/>
  <c r="L2" i="5"/>
  <c r="L40" i="3"/>
  <c r="L8" i="5" s="1"/>
  <c r="L38" i="3"/>
  <c r="L6" i="5" s="1"/>
  <c r="L44" i="3"/>
  <c r="L12" i="5" s="1"/>
  <c r="L45" i="3"/>
  <c r="L13" i="5" s="1"/>
  <c r="L36" i="3"/>
  <c r="L4" i="5" s="1"/>
  <c r="L37" i="3"/>
  <c r="L5" i="5" s="1"/>
  <c r="L39" i="3"/>
  <c r="L7" i="5" s="1"/>
  <c r="L42" i="3"/>
  <c r="L10" i="5" s="1"/>
  <c r="L43" i="3"/>
  <c r="L11" i="5" s="1"/>
  <c r="L35" i="3"/>
  <c r="L3" i="5" s="1"/>
  <c r="L41" i="3"/>
  <c r="L9" i="5" s="1"/>
  <c r="J39" i="3"/>
  <c r="J7" i="5" s="1"/>
  <c r="J43" i="3"/>
  <c r="J11" i="5" s="1"/>
  <c r="J34" i="3"/>
  <c r="J41" i="3"/>
  <c r="J9" i="5" s="1"/>
  <c r="J35" i="3"/>
  <c r="J3" i="5" s="1"/>
  <c r="J36" i="3"/>
  <c r="J4" i="5" s="1"/>
  <c r="J38" i="3"/>
  <c r="J6" i="5" s="1"/>
  <c r="J45" i="3"/>
  <c r="J13" i="5" s="1"/>
  <c r="J37" i="3"/>
  <c r="J5" i="5" s="1"/>
  <c r="J40" i="3"/>
  <c r="J8" i="5" s="1"/>
  <c r="J42" i="3"/>
  <c r="J10" i="5" s="1"/>
  <c r="H35" i="3"/>
  <c r="H3" i="5" s="1"/>
  <c r="H41" i="3"/>
  <c r="H9" i="5" s="1"/>
  <c r="H45" i="3"/>
  <c r="H13" i="5" s="1"/>
  <c r="H37" i="3"/>
  <c r="H5" i="5" s="1"/>
  <c r="H39" i="3"/>
  <c r="H7" i="5" s="1"/>
  <c r="H43" i="3"/>
  <c r="H11" i="5" s="1"/>
  <c r="H38" i="3"/>
  <c r="H6" i="5" s="1"/>
  <c r="H44" i="3"/>
  <c r="H12" i="5" s="1"/>
  <c r="H40" i="3"/>
  <c r="H8" i="5" s="1"/>
  <c r="H42" i="3"/>
  <c r="H10" i="5" s="1"/>
  <c r="H36" i="3"/>
  <c r="H4" i="5" s="1"/>
  <c r="H34" i="3"/>
  <c r="E2" i="5"/>
  <c r="B2" i="5"/>
  <c r="E14" i="5" l="1"/>
  <c r="E46" i="3"/>
  <c r="I14" i="5"/>
  <c r="G14" i="5"/>
  <c r="B46" i="3"/>
  <c r="I46" i="3"/>
  <c r="F14" i="5"/>
  <c r="F46" i="3"/>
  <c r="G46" i="3"/>
  <c r="C46" i="3"/>
  <c r="M14" i="5"/>
  <c r="C14" i="5"/>
  <c r="M46" i="3"/>
  <c r="K14" i="5"/>
  <c r="K46" i="3"/>
  <c r="D46" i="3"/>
  <c r="D3" i="5"/>
  <c r="N3" i="5" s="1"/>
  <c r="N6" i="5"/>
  <c r="N12" i="5"/>
  <c r="N5" i="5"/>
  <c r="S5" i="5" s="1"/>
  <c r="N11" i="5"/>
  <c r="L14" i="5"/>
  <c r="L46" i="3"/>
  <c r="N4" i="5"/>
  <c r="N9" i="5"/>
  <c r="N10" i="5"/>
  <c r="N8" i="5"/>
  <c r="J2" i="5"/>
  <c r="J14" i="5" s="1"/>
  <c r="J46" i="3"/>
  <c r="N7" i="5"/>
  <c r="N13" i="5"/>
  <c r="H2" i="5"/>
  <c r="H14" i="5" s="1"/>
  <c r="H46" i="3"/>
  <c r="B14" i="5"/>
  <c r="S7" i="5" l="1"/>
  <c r="S6" i="5"/>
  <c r="S9" i="5"/>
  <c r="S13" i="5"/>
  <c r="S3" i="5"/>
  <c r="S11" i="5"/>
  <c r="D14" i="5"/>
  <c r="S4" i="5" s="1"/>
  <c r="S12" i="5"/>
  <c r="N2" i="5"/>
  <c r="S2" i="5" s="1"/>
  <c r="S10" i="5"/>
  <c r="S8" i="5"/>
</calcChain>
</file>

<file path=xl/sharedStrings.xml><?xml version="1.0" encoding="utf-8"?>
<sst xmlns="http://schemas.openxmlformats.org/spreadsheetml/2006/main" count="754" uniqueCount="121">
  <si>
    <t>AMS</t>
  </si>
  <si>
    <t>MIA</t>
  </si>
  <si>
    <t>BOG</t>
  </si>
  <si>
    <t>UIO</t>
  </si>
  <si>
    <t>SCL</t>
  </si>
  <si>
    <t>VCP</t>
  </si>
  <si>
    <t>EZE</t>
  </si>
  <si>
    <t>GUA</t>
  </si>
  <si>
    <t>CAI</t>
  </si>
  <si>
    <t>JNB</t>
  </si>
  <si>
    <t>NBO</t>
  </si>
  <si>
    <t>HRE</t>
  </si>
  <si>
    <t>All intra SA via AMS</t>
  </si>
  <si>
    <t>All intra SA via MIA</t>
  </si>
  <si>
    <t>All intra AF via AMS</t>
  </si>
  <si>
    <t xml:space="preserve">1 of 2 Intra SA via MIA </t>
  </si>
  <si>
    <t>2 of 3 MIA-SA via AMS</t>
  </si>
  <si>
    <t>MIA-SA via AMS</t>
  </si>
  <si>
    <t>totals:</t>
  </si>
  <si>
    <t>ORIGIN</t>
  </si>
  <si>
    <t>Score increased due to nature of schedule</t>
  </si>
  <si>
    <t>DESTINATION</t>
  </si>
  <si>
    <t>Score decreased due to nature of schedule</t>
  </si>
  <si>
    <t>*</t>
  </si>
  <si>
    <t>rating based on cargo data:</t>
  </si>
  <si>
    <t>rating based on cargo data</t>
  </si>
  <si>
    <t>adj. rating:</t>
  </si>
  <si>
    <t>rating:</t>
  </si>
  <si>
    <t>-</t>
  </si>
  <si>
    <t>A</t>
  </si>
  <si>
    <t>B</t>
  </si>
  <si>
    <t>C</t>
  </si>
  <si>
    <t>AA</t>
  </si>
  <si>
    <t>D</t>
  </si>
  <si>
    <t>E</t>
  </si>
  <si>
    <t>AFRICA</t>
  </si>
  <si>
    <t>exports africa to europe</t>
  </si>
  <si>
    <t>imports europe to africa</t>
  </si>
  <si>
    <t>general africa markets</t>
  </si>
  <si>
    <t>east africa (NBO)</t>
  </si>
  <si>
    <t>kenya (NBO)</t>
  </si>
  <si>
    <t>north africa (CAI)</t>
  </si>
  <si>
    <t>egypt (CAI)</t>
  </si>
  <si>
    <t>south africa (HRE, JNB)</t>
  </si>
  <si>
    <t>south africa (JNB)</t>
  </si>
  <si>
    <t>JNB 6%; HRE 4%</t>
  </si>
  <si>
    <t>JNB 15%; HRE 7%</t>
  </si>
  <si>
    <t xml:space="preserve">zimbabwe (HRE) </t>
  </si>
  <si>
    <t>???</t>
  </si>
  <si>
    <t>africa to europe tonnes:</t>
  </si>
  <si>
    <t>europe to africa tonnes</t>
  </si>
  <si>
    <t>intra-africa tonnes (excluding domestic)</t>
  </si>
  <si>
    <t>880 000</t>
  </si>
  <si>
    <t>689 000</t>
  </si>
  <si>
    <t>326 000</t>
  </si>
  <si>
    <t>NORTH-AMERICA - EUROPE</t>
  </si>
  <si>
    <t>general north-america - europe markets</t>
  </si>
  <si>
    <t>germany</t>
  </si>
  <si>
    <t>uk</t>
  </si>
  <si>
    <t>italy</t>
  </si>
  <si>
    <t>france</t>
  </si>
  <si>
    <t>nl (AMS)</t>
  </si>
  <si>
    <t>north-america to europe tonnes</t>
  </si>
  <si>
    <t>europe to north-america tonnes</t>
  </si>
  <si>
    <t>1.5 M</t>
  </si>
  <si>
    <t>2.1 M</t>
  </si>
  <si>
    <t>LATIN-AMERICA EUROPE</t>
  </si>
  <si>
    <t>general latin-america europe markets</t>
  </si>
  <si>
    <t xml:space="preserve">south america: </t>
  </si>
  <si>
    <t>560 000 tonnes (67%)</t>
  </si>
  <si>
    <t>central america:</t>
  </si>
  <si>
    <t>254 000 tonnes (23%)</t>
  </si>
  <si>
    <t>caribbean: …</t>
  </si>
  <si>
    <t>brazil (VCP)</t>
  </si>
  <si>
    <t>mexico</t>
  </si>
  <si>
    <t>colombia (BOG)</t>
  </si>
  <si>
    <t xml:space="preserve">panama </t>
  </si>
  <si>
    <t>ecuador (UIO)</t>
  </si>
  <si>
    <t>costa rica</t>
  </si>
  <si>
    <t>argentina (EZE)</t>
  </si>
  <si>
    <t>guatemala (GUA)</t>
  </si>
  <si>
    <t>chile (SCL)</t>
  </si>
  <si>
    <t>latin-america to europe tonnes</t>
  </si>
  <si>
    <t>europe to latin-america tonnes</t>
  </si>
  <si>
    <t>417 000</t>
  </si>
  <si>
    <t>463 000</t>
  </si>
  <si>
    <t>LATIN-AMERICA NORTH-AMERICA</t>
  </si>
  <si>
    <t>general latin-america north-america martkets</t>
  </si>
  <si>
    <t>south america:</t>
  </si>
  <si>
    <t>1 220 000 tonnes (75%)</t>
  </si>
  <si>
    <t xml:space="preserve">central america: </t>
  </si>
  <si>
    <t>300 000 tonnes (19%)</t>
  </si>
  <si>
    <t>latin-america to north-america tonnes</t>
  </si>
  <si>
    <t>north-america to latin-america tonnes</t>
  </si>
  <si>
    <t>intra-latin america tonnes</t>
  </si>
  <si>
    <t>1 060 000</t>
  </si>
  <si>
    <t>575 000</t>
  </si>
  <si>
    <t>Boeing World Cargo Forecast</t>
  </si>
  <si>
    <t>cargo data: (thousand tonnes)</t>
  </si>
  <si>
    <t>soucre:</t>
  </si>
  <si>
    <t>highlighting legend:</t>
  </si>
  <si>
    <t>OD PAIR RATING BASED ON HISTORIC CARGO FLOW DATA AND NATURE OF FLIGHT PATHS:</t>
  </si>
  <si>
    <t>NUMERICAL SCORES:</t>
  </si>
  <si>
    <t>+++</t>
  </si>
  <si>
    <t>++</t>
  </si>
  <si>
    <t>+</t>
  </si>
  <si>
    <t>±</t>
  </si>
  <si>
    <t>--</t>
  </si>
  <si>
    <t>---</t>
  </si>
  <si>
    <t>F</t>
  </si>
  <si>
    <t>ADJUSTED SCORE OF OD PAIRS:</t>
  </si>
  <si>
    <t>totals</t>
  </si>
  <si>
    <t>PERCENTAGES of DEMAND per OD PAIR:</t>
  </si>
  <si>
    <t>IMPORT VS EXPORT %</t>
  </si>
  <si>
    <t>total import</t>
  </si>
  <si>
    <t>total export</t>
  </si>
  <si>
    <t>NUMBER OF DISTINCT DIRECT AND INDIRECT FLIGHT PATHS:</t>
  </si>
  <si>
    <t>no significant data availbale on the OD pair</t>
  </si>
  <si>
    <t>++++</t>
  </si>
  <si>
    <t>AAA</t>
  </si>
  <si>
    <t>n.o. flight arrivals: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</si>
</sst>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1"/>
      <color theme="4" tint="-0.249977111117893"/>
      <name val="Aptos Narrow"/>
      <family val="2"/>
      <scheme val="minor"/>
    </font>
    <font>
      <i/>
      <sz val="11"/>
      <name val="Aptos Narrow"/>
      <family val="2"/>
      <scheme val="minor"/>
    </font>
    <font>
      <sz val="10"/>
      <color rgb="FF202122"/>
      <name val="Arial"/>
      <family val="2"/>
    </font>
    <font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60">
    <xf numFmtId="0" fontId="0" fillId="0" borderId="0" xfId="0"/>
    <xf numFmtId="0" fontId="2" fillId="0" borderId="0" xfId="0" applyFont="1"/>
    <xf numFmtId="0" fontId="4" fillId="0" borderId="0" xfId="0" applyFon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3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/>
    <xf numFmtId="0" fontId="4" fillId="0" borderId="2" xfId="0" applyFont="1" applyBorder="1"/>
    <xf numFmtId="0" fontId="0" fillId="0" borderId="2" xfId="0" applyBorder="1"/>
    <xf numFmtId="49" fontId="0" fillId="0" borderId="1" xfId="0" applyNumberFormat="1" applyBorder="1"/>
    <xf numFmtId="49" fontId="0" fillId="0" borderId="0" xfId="0" applyNumberFormat="1"/>
    <xf numFmtId="0" fontId="1" fillId="0" borderId="2" xfId="0" applyFont="1" applyBorder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/>
    <xf numFmtId="0" fontId="1" fillId="3" borderId="2" xfId="0" applyFont="1" applyFill="1" applyBorder="1"/>
    <xf numFmtId="0" fontId="1" fillId="5" borderId="0" xfId="0" applyFont="1" applyFill="1"/>
    <xf numFmtId="0" fontId="6" fillId="0" borderId="0" xfId="0" applyFont="1"/>
    <xf numFmtId="0" fontId="1" fillId="6" borderId="0" xfId="0" applyFont="1" applyFill="1"/>
    <xf numFmtId="0" fontId="2" fillId="10" borderId="0" xfId="0" applyFont="1" applyFill="1"/>
    <xf numFmtId="0" fontId="1" fillId="3" borderId="0" xfId="0" applyFont="1" applyFill="1"/>
    <xf numFmtId="0" fontId="1" fillId="7" borderId="0" xfId="0" applyFont="1" applyFill="1"/>
    <xf numFmtId="0" fontId="1" fillId="2" borderId="0" xfId="0" applyFont="1" applyFill="1"/>
    <xf numFmtId="0" fontId="7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1" fillId="2" borderId="2" xfId="0" applyFont="1" applyFill="1" applyBorder="1"/>
    <xf numFmtId="0" fontId="2" fillId="10" borderId="0" xfId="0" applyFont="1" applyFill="1" applyAlignment="1">
      <alignment horizontal="left"/>
    </xf>
    <xf numFmtId="0" fontId="2" fillId="9" borderId="0" xfId="0" applyFont="1" applyFill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" fillId="4" borderId="0" xfId="0" applyFont="1" applyFill="1"/>
    <xf numFmtId="0" fontId="9" fillId="0" borderId="0" xfId="0" applyFont="1"/>
    <xf numFmtId="9" fontId="0" fillId="0" borderId="0" xfId="0" applyNumberFormat="1"/>
    <xf numFmtId="0" fontId="10" fillId="0" borderId="0" xfId="0" applyFont="1"/>
    <xf numFmtId="0" fontId="0" fillId="0" borderId="0" xfId="0" applyAlignment="1">
      <alignment wrapText="1"/>
    </xf>
    <xf numFmtId="49" fontId="0" fillId="0" borderId="0" xfId="0" quotePrefix="1" applyNumberFormat="1"/>
    <xf numFmtId="0" fontId="0" fillId="0" borderId="0" xfId="0" quotePrefix="1"/>
    <xf numFmtId="49" fontId="11" fillId="0" borderId="0" xfId="0" applyNumberFormat="1" applyFont="1"/>
    <xf numFmtId="10" fontId="0" fillId="0" borderId="0" xfId="0" applyNumberFormat="1"/>
    <xf numFmtId="0" fontId="5" fillId="8" borderId="0" xfId="0" applyFont="1" applyFill="1"/>
    <xf numFmtId="10" fontId="0" fillId="0" borderId="0" xfId="1" applyNumberFormat="1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6" fillId="10" borderId="0" xfId="0" applyFont="1" applyFill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3" fontId="0" fillId="0" borderId="0" xfId="0" applyNumberFormat="1"/>
    <xf numFmtId="0" fontId="4" fillId="0" borderId="0" xfId="0" applyFont="1" applyAlignment="1">
      <alignment horizontal="left"/>
    </xf>
    <xf numFmtId="0" fontId="0" fillId="0" borderId="0" xfId="1" applyNumberFormat="1" applyFont="1"/>
    <xf numFmtId="0" fontId="0" fillId="0" borderId="0" xfId="0" applyAlignment="1">
      <alignment horizontal="left" wrapText="1"/>
    </xf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604492</xdr:colOff>
      <xdr:row>5</xdr:row>
      <xdr:rowOff>11133</xdr:rowOff>
    </xdr:from>
    <xdr:to>
      <xdr:col>3</xdr:col>
      <xdr:colOff>546839</xdr:colOff>
      <xdr:row>6</xdr:row>
      <xdr:rowOff>46</xdr:rowOff>
    </xdr:to>
    <xdr:sp macro="" textlink="">
      <xdr:nvSpPr>
        <xdr:cNvPr id="3" name="Rechthoekige driehoek 2">
          <a:extLst>
            <a:ext uri="{FF2B5EF4-FFF2-40B4-BE49-F238E27FC236}">
              <a16:creationId xmlns:a16="http://schemas.microsoft.com/office/drawing/2014/main" id="{0C38B502-DE25-3996-4223-9327B0900D69}"/>
            </a:ext>
          </a:extLst>
        </xdr:cNvPr>
        <xdr:cNvSpPr/>
      </xdr:nvSpPr>
      <xdr:spPr>
        <a:xfrm>
          <a:off x="1824931" y="924913"/>
          <a:ext cx="552567" cy="171670"/>
        </a:xfrm>
        <a:prstGeom prst="rtTriangle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 editAs="oneCell">
    <xdr:from>
      <xdr:col>0</xdr:col>
      <xdr:colOff>0</xdr:colOff>
      <xdr:row>15</xdr:row>
      <xdr:rowOff>181683</xdr:rowOff>
    </xdr:from>
    <xdr:to>
      <xdr:col>18</xdr:col>
      <xdr:colOff>25101</xdr:colOff>
      <xdr:row>51</xdr:row>
      <xdr:rowOff>97261</xdr:rowOff>
    </xdr:to>
    <xdr:pic>
      <xdr:nvPicPr>
        <xdr:cNvPr id="5" name="Afbeelding 4">
          <a:extLst>
            <a:ext uri="{FF2B5EF4-FFF2-40B4-BE49-F238E27FC236}">
              <a16:creationId xmlns:a16="http://schemas.microsoft.com/office/drawing/2014/main" id="{37228FBE-DBB1-EA53-0B19-BEA639B74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83154"/>
          <a:ext cx="11041529" cy="66302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264809</xdr:colOff>
      <xdr:row>5</xdr:row>
      <xdr:rowOff>10808</xdr:rowOff>
    </xdr:from>
    <xdr:to>
      <xdr:col>2</xdr:col>
      <xdr:colOff>264809</xdr:colOff>
      <xdr:row>6</xdr:row>
      <xdr:rowOff>6837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04D2D08B-6527-4E25-BAE4-64904DE5648B}"/>
            </a:ext>
          </a:extLst>
        </xdr:cNvPr>
        <xdr:cNvCxnSpPr/>
      </xdr:nvCxnSpPr>
      <xdr:spPr>
        <a:xfrm>
          <a:off x="1560209" y="3876688"/>
          <a:ext cx="0" cy="18017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264809</xdr:colOff>
      <xdr:row>5</xdr:row>
      <xdr:rowOff>10808</xdr:rowOff>
    </xdr:from>
    <xdr:to>
      <xdr:col>7</xdr:col>
      <xdr:colOff>264809</xdr:colOff>
      <xdr:row>6</xdr:row>
      <xdr:rowOff>6837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B88C76D2-DAE1-4D46-8408-2250EC10FDCB}"/>
            </a:ext>
          </a:extLst>
        </xdr:cNvPr>
        <xdr:cNvCxnSpPr/>
      </xdr:nvCxnSpPr>
      <xdr:spPr>
        <a:xfrm>
          <a:off x="4646309" y="3876688"/>
          <a:ext cx="0" cy="18017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264809</xdr:colOff>
      <xdr:row>5</xdr:row>
      <xdr:rowOff>10808</xdr:rowOff>
    </xdr:from>
    <xdr:to>
      <xdr:col>12</xdr:col>
      <xdr:colOff>264809</xdr:colOff>
      <xdr:row>6</xdr:row>
      <xdr:rowOff>6837</xdr:rowOff>
    </xdr:to>
    <xdr:cxnSp macro="">
      <xdr:nvCxnSpPr>
        <xdr:cNvPr id="4" name="Rechte verbindingslijn met pijl 3">
          <a:extLst>
            <a:ext uri="{FF2B5EF4-FFF2-40B4-BE49-F238E27FC236}">
              <a16:creationId xmlns:a16="http://schemas.microsoft.com/office/drawing/2014/main" id="{3E15A6C4-3891-4293-998D-F00FCD858AEA}"/>
            </a:ext>
          </a:extLst>
        </xdr:cNvPr>
        <xdr:cNvCxnSpPr/>
      </xdr:nvCxnSpPr>
      <xdr:spPr>
        <a:xfrm>
          <a:off x="7694309" y="3876688"/>
          <a:ext cx="0" cy="18017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264809</xdr:colOff>
      <xdr:row>5</xdr:row>
      <xdr:rowOff>10808</xdr:rowOff>
    </xdr:from>
    <xdr:to>
      <xdr:col>17</xdr:col>
      <xdr:colOff>264809</xdr:colOff>
      <xdr:row>6</xdr:row>
      <xdr:rowOff>6837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873F8ADA-6257-4DD9-98C9-7C37A6CC5002}"/>
            </a:ext>
          </a:extLst>
        </xdr:cNvPr>
        <xdr:cNvCxnSpPr/>
      </xdr:nvCxnSpPr>
      <xdr:spPr>
        <a:xfrm>
          <a:off x="10774059" y="3876688"/>
          <a:ext cx="0" cy="18017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264809</xdr:colOff>
      <xdr:row>5</xdr:row>
      <xdr:rowOff>10808</xdr:rowOff>
    </xdr:from>
    <xdr:to>
      <xdr:col>22</xdr:col>
      <xdr:colOff>264809</xdr:colOff>
      <xdr:row>6</xdr:row>
      <xdr:rowOff>6837</xdr:rowOff>
    </xdr:to>
    <xdr:cxnSp macro="">
      <xdr:nvCxnSpPr>
        <xdr:cNvPr id="6" name="Rechte verbindingslijn met pijl 5">
          <a:extLst>
            <a:ext uri="{FF2B5EF4-FFF2-40B4-BE49-F238E27FC236}">
              <a16:creationId xmlns:a16="http://schemas.microsoft.com/office/drawing/2014/main" id="{629A1695-DCF9-4585-BF41-0A081C566162}"/>
            </a:ext>
          </a:extLst>
        </xdr:cNvPr>
        <xdr:cNvCxnSpPr/>
      </xdr:nvCxnSpPr>
      <xdr:spPr>
        <a:xfrm>
          <a:off x="14203059" y="3876688"/>
          <a:ext cx="0" cy="18017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264809</xdr:colOff>
      <xdr:row>5</xdr:row>
      <xdr:rowOff>10808</xdr:rowOff>
    </xdr:from>
    <xdr:to>
      <xdr:col>27</xdr:col>
      <xdr:colOff>264809</xdr:colOff>
      <xdr:row>6</xdr:row>
      <xdr:rowOff>6837</xdr:rowOff>
    </xdr:to>
    <xdr:cxnSp macro="">
      <xdr:nvCxnSpPr>
        <xdr:cNvPr id="7" name="Rechte verbindingslijn met pijl 6">
          <a:extLst>
            <a:ext uri="{FF2B5EF4-FFF2-40B4-BE49-F238E27FC236}">
              <a16:creationId xmlns:a16="http://schemas.microsoft.com/office/drawing/2014/main" id="{B2FAAB30-B900-4E14-BD38-CD9D93C4CD48}"/>
            </a:ext>
          </a:extLst>
        </xdr:cNvPr>
        <xdr:cNvCxnSpPr/>
      </xdr:nvCxnSpPr>
      <xdr:spPr>
        <a:xfrm>
          <a:off x="17632059" y="3876688"/>
          <a:ext cx="0" cy="18017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264809</xdr:colOff>
      <xdr:row>5</xdr:row>
      <xdr:rowOff>10808</xdr:rowOff>
    </xdr:from>
    <xdr:to>
      <xdr:col>32</xdr:col>
      <xdr:colOff>264809</xdr:colOff>
      <xdr:row>6</xdr:row>
      <xdr:rowOff>6837</xdr:rowOff>
    </xdr:to>
    <xdr:cxnSp macro="">
      <xdr:nvCxnSpPr>
        <xdr:cNvPr id="8" name="Rechte verbindingslijn met pijl 7">
          <a:extLst>
            <a:ext uri="{FF2B5EF4-FFF2-40B4-BE49-F238E27FC236}">
              <a16:creationId xmlns:a16="http://schemas.microsoft.com/office/drawing/2014/main" id="{22CF9897-F7F2-4486-9B24-D22618021973}"/>
            </a:ext>
          </a:extLst>
        </xdr:cNvPr>
        <xdr:cNvCxnSpPr/>
      </xdr:nvCxnSpPr>
      <xdr:spPr>
        <a:xfrm>
          <a:off x="20832459" y="3876688"/>
          <a:ext cx="0" cy="18017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264809</xdr:colOff>
      <xdr:row>5</xdr:row>
      <xdr:rowOff>10808</xdr:rowOff>
    </xdr:from>
    <xdr:to>
      <xdr:col>37</xdr:col>
      <xdr:colOff>264809</xdr:colOff>
      <xdr:row>6</xdr:row>
      <xdr:rowOff>6837</xdr:rowOff>
    </xdr:to>
    <xdr:cxnSp macro="">
      <xdr:nvCxnSpPr>
        <xdr:cNvPr id="9" name="Rechte verbindingslijn met pijl 8">
          <a:extLst>
            <a:ext uri="{FF2B5EF4-FFF2-40B4-BE49-F238E27FC236}">
              <a16:creationId xmlns:a16="http://schemas.microsoft.com/office/drawing/2014/main" id="{9F1A0BBB-EE40-42F5-B51F-FE0B54E3BCA0}"/>
            </a:ext>
          </a:extLst>
        </xdr:cNvPr>
        <xdr:cNvCxnSpPr/>
      </xdr:nvCxnSpPr>
      <xdr:spPr>
        <a:xfrm>
          <a:off x="23880459" y="3876688"/>
          <a:ext cx="0" cy="18017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264809</xdr:colOff>
      <xdr:row>5</xdr:row>
      <xdr:rowOff>10808</xdr:rowOff>
    </xdr:from>
    <xdr:to>
      <xdr:col>42</xdr:col>
      <xdr:colOff>264809</xdr:colOff>
      <xdr:row>6</xdr:row>
      <xdr:rowOff>6837</xdr:rowOff>
    </xdr:to>
    <xdr:cxnSp macro="">
      <xdr:nvCxnSpPr>
        <xdr:cNvPr id="10" name="Rechte verbindingslijn met pijl 9">
          <a:extLst>
            <a:ext uri="{FF2B5EF4-FFF2-40B4-BE49-F238E27FC236}">
              <a16:creationId xmlns:a16="http://schemas.microsoft.com/office/drawing/2014/main" id="{AA3BEB51-F887-4AF5-ADCD-605BCF5EE376}"/>
            </a:ext>
          </a:extLst>
        </xdr:cNvPr>
        <xdr:cNvCxnSpPr/>
      </xdr:nvCxnSpPr>
      <xdr:spPr>
        <a:xfrm>
          <a:off x="26928459" y="3876688"/>
          <a:ext cx="0" cy="18017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264809</xdr:colOff>
      <xdr:row>5</xdr:row>
      <xdr:rowOff>10808</xdr:rowOff>
    </xdr:from>
    <xdr:to>
      <xdr:col>51</xdr:col>
      <xdr:colOff>264809</xdr:colOff>
      <xdr:row>6</xdr:row>
      <xdr:rowOff>6837</xdr:rowOff>
    </xdr:to>
    <xdr:cxnSp macro="">
      <xdr:nvCxnSpPr>
        <xdr:cNvPr id="11" name="Rechte verbindingslijn met pijl 10">
          <a:extLst>
            <a:ext uri="{FF2B5EF4-FFF2-40B4-BE49-F238E27FC236}">
              <a16:creationId xmlns:a16="http://schemas.microsoft.com/office/drawing/2014/main" id="{CFB1D5BF-2404-434E-8C74-AF12BFB51374}"/>
            </a:ext>
          </a:extLst>
        </xdr:cNvPr>
        <xdr:cNvCxnSpPr/>
      </xdr:nvCxnSpPr>
      <xdr:spPr>
        <a:xfrm>
          <a:off x="32414859" y="3876688"/>
          <a:ext cx="0" cy="18017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264809</xdr:colOff>
      <xdr:row>5</xdr:row>
      <xdr:rowOff>10808</xdr:rowOff>
    </xdr:from>
    <xdr:to>
      <xdr:col>56</xdr:col>
      <xdr:colOff>264809</xdr:colOff>
      <xdr:row>6</xdr:row>
      <xdr:rowOff>6837</xdr:rowOff>
    </xdr:to>
    <xdr:cxnSp macro="">
      <xdr:nvCxnSpPr>
        <xdr:cNvPr id="12" name="Rechte verbindingslijn met pijl 11">
          <a:extLst>
            <a:ext uri="{FF2B5EF4-FFF2-40B4-BE49-F238E27FC236}">
              <a16:creationId xmlns:a16="http://schemas.microsoft.com/office/drawing/2014/main" id="{AEFDF9CA-B89B-4C79-8B4E-9CCBC9CA3682}"/>
            </a:ext>
          </a:extLst>
        </xdr:cNvPr>
        <xdr:cNvCxnSpPr/>
      </xdr:nvCxnSpPr>
      <xdr:spPr>
        <a:xfrm>
          <a:off x="35462859" y="3876688"/>
          <a:ext cx="0" cy="18017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264809</xdr:colOff>
      <xdr:row>5</xdr:row>
      <xdr:rowOff>10808</xdr:rowOff>
    </xdr:from>
    <xdr:to>
      <xdr:col>2</xdr:col>
      <xdr:colOff>264809</xdr:colOff>
      <xdr:row>6</xdr:row>
      <xdr:rowOff>6837</xdr:rowOff>
    </xdr:to>
    <xdr:cxnSp macro="">
      <xdr:nvCxnSpPr>
        <xdr:cNvPr id="37" name="Rechte verbindingslijn met pijl 36">
          <a:extLst>
            <a:ext uri="{FF2B5EF4-FFF2-40B4-BE49-F238E27FC236}">
              <a16:creationId xmlns:a16="http://schemas.microsoft.com/office/drawing/2014/main" id="{666A76E1-DE28-4D5E-97FE-E2B0FB2E78B6}"/>
            </a:ext>
          </a:extLst>
        </xdr:cNvPr>
        <xdr:cNvCxnSpPr/>
      </xdr:nvCxnSpPr>
      <xdr:spPr>
        <a:xfrm>
          <a:off x="10470166" y="13843467"/>
          <a:ext cx="0" cy="17745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264809</xdr:colOff>
      <xdr:row>5</xdr:row>
      <xdr:rowOff>10808</xdr:rowOff>
    </xdr:from>
    <xdr:to>
      <xdr:col>7</xdr:col>
      <xdr:colOff>264809</xdr:colOff>
      <xdr:row>6</xdr:row>
      <xdr:rowOff>6837</xdr:rowOff>
    </xdr:to>
    <xdr:cxnSp macro="">
      <xdr:nvCxnSpPr>
        <xdr:cNvPr id="38" name="Rechte verbindingslijn met pijl 37">
          <a:extLst>
            <a:ext uri="{FF2B5EF4-FFF2-40B4-BE49-F238E27FC236}">
              <a16:creationId xmlns:a16="http://schemas.microsoft.com/office/drawing/2014/main" id="{E9CF10AF-700D-4A2D-B8CA-378207816589}"/>
            </a:ext>
          </a:extLst>
        </xdr:cNvPr>
        <xdr:cNvCxnSpPr/>
      </xdr:nvCxnSpPr>
      <xdr:spPr>
        <a:xfrm>
          <a:off x="13599809" y="13843467"/>
          <a:ext cx="0" cy="17745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264809</xdr:colOff>
      <xdr:row>5</xdr:row>
      <xdr:rowOff>10808</xdr:rowOff>
    </xdr:from>
    <xdr:to>
      <xdr:col>12</xdr:col>
      <xdr:colOff>264809</xdr:colOff>
      <xdr:row>6</xdr:row>
      <xdr:rowOff>6837</xdr:rowOff>
    </xdr:to>
    <xdr:cxnSp macro="">
      <xdr:nvCxnSpPr>
        <xdr:cNvPr id="39" name="Rechte verbindingslijn met pijl 38">
          <a:extLst>
            <a:ext uri="{FF2B5EF4-FFF2-40B4-BE49-F238E27FC236}">
              <a16:creationId xmlns:a16="http://schemas.microsoft.com/office/drawing/2014/main" id="{EA48DAF7-AEC5-42B7-B637-809D89CB1FDD}"/>
            </a:ext>
          </a:extLst>
        </xdr:cNvPr>
        <xdr:cNvCxnSpPr/>
      </xdr:nvCxnSpPr>
      <xdr:spPr>
        <a:xfrm>
          <a:off x="16792952" y="13843467"/>
          <a:ext cx="0" cy="17745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264809</xdr:colOff>
      <xdr:row>5</xdr:row>
      <xdr:rowOff>10808</xdr:rowOff>
    </xdr:from>
    <xdr:to>
      <xdr:col>17</xdr:col>
      <xdr:colOff>264809</xdr:colOff>
      <xdr:row>6</xdr:row>
      <xdr:rowOff>6837</xdr:rowOff>
    </xdr:to>
    <xdr:cxnSp macro="">
      <xdr:nvCxnSpPr>
        <xdr:cNvPr id="40" name="Rechte verbindingslijn met pijl 39">
          <a:extLst>
            <a:ext uri="{FF2B5EF4-FFF2-40B4-BE49-F238E27FC236}">
              <a16:creationId xmlns:a16="http://schemas.microsoft.com/office/drawing/2014/main" id="{62AEAD40-A836-4A0C-94BB-666EE6200E4C}"/>
            </a:ext>
          </a:extLst>
        </xdr:cNvPr>
        <xdr:cNvCxnSpPr/>
      </xdr:nvCxnSpPr>
      <xdr:spPr>
        <a:xfrm>
          <a:off x="19913523" y="13843467"/>
          <a:ext cx="0" cy="17745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264809</xdr:colOff>
      <xdr:row>5</xdr:row>
      <xdr:rowOff>10808</xdr:rowOff>
    </xdr:from>
    <xdr:to>
      <xdr:col>22</xdr:col>
      <xdr:colOff>264809</xdr:colOff>
      <xdr:row>6</xdr:row>
      <xdr:rowOff>6837</xdr:rowOff>
    </xdr:to>
    <xdr:cxnSp macro="">
      <xdr:nvCxnSpPr>
        <xdr:cNvPr id="43" name="Rechte verbindingslijn met pijl 42">
          <a:extLst>
            <a:ext uri="{FF2B5EF4-FFF2-40B4-BE49-F238E27FC236}">
              <a16:creationId xmlns:a16="http://schemas.microsoft.com/office/drawing/2014/main" id="{E19EF539-1D39-4992-B590-5D7971677DDB}"/>
            </a:ext>
          </a:extLst>
        </xdr:cNvPr>
        <xdr:cNvCxnSpPr/>
      </xdr:nvCxnSpPr>
      <xdr:spPr>
        <a:xfrm>
          <a:off x="23034095" y="13843467"/>
          <a:ext cx="0" cy="17745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264809</xdr:colOff>
      <xdr:row>5</xdr:row>
      <xdr:rowOff>10808</xdr:rowOff>
    </xdr:from>
    <xdr:to>
      <xdr:col>17</xdr:col>
      <xdr:colOff>264809</xdr:colOff>
      <xdr:row>6</xdr:row>
      <xdr:rowOff>6837</xdr:rowOff>
    </xdr:to>
    <xdr:cxnSp macro="">
      <xdr:nvCxnSpPr>
        <xdr:cNvPr id="44" name="Rechte verbindingslijn met pijl 43">
          <a:extLst>
            <a:ext uri="{FF2B5EF4-FFF2-40B4-BE49-F238E27FC236}">
              <a16:creationId xmlns:a16="http://schemas.microsoft.com/office/drawing/2014/main" id="{94B1C43F-E9CE-4C19-9B8E-5DF56A81DEC4}"/>
            </a:ext>
          </a:extLst>
        </xdr:cNvPr>
        <xdr:cNvCxnSpPr/>
      </xdr:nvCxnSpPr>
      <xdr:spPr>
        <a:xfrm>
          <a:off x="19913523" y="13843467"/>
          <a:ext cx="0" cy="17745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264809</xdr:colOff>
      <xdr:row>5</xdr:row>
      <xdr:rowOff>10808</xdr:rowOff>
    </xdr:from>
    <xdr:to>
      <xdr:col>27</xdr:col>
      <xdr:colOff>264809</xdr:colOff>
      <xdr:row>6</xdr:row>
      <xdr:rowOff>6837</xdr:rowOff>
    </xdr:to>
    <xdr:cxnSp macro="">
      <xdr:nvCxnSpPr>
        <xdr:cNvPr id="45" name="Rechte verbindingslijn met pijl 44">
          <a:extLst>
            <a:ext uri="{FF2B5EF4-FFF2-40B4-BE49-F238E27FC236}">
              <a16:creationId xmlns:a16="http://schemas.microsoft.com/office/drawing/2014/main" id="{A9B8ECCA-98D0-4EE3-89D7-EDB6985C9776}"/>
            </a:ext>
          </a:extLst>
        </xdr:cNvPr>
        <xdr:cNvCxnSpPr/>
      </xdr:nvCxnSpPr>
      <xdr:spPr>
        <a:xfrm>
          <a:off x="26145595" y="13843467"/>
          <a:ext cx="0" cy="17745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264809</xdr:colOff>
      <xdr:row>5</xdr:row>
      <xdr:rowOff>10808</xdr:rowOff>
    </xdr:from>
    <xdr:to>
      <xdr:col>32</xdr:col>
      <xdr:colOff>264809</xdr:colOff>
      <xdr:row>6</xdr:row>
      <xdr:rowOff>6837</xdr:rowOff>
    </xdr:to>
    <xdr:cxnSp macro="">
      <xdr:nvCxnSpPr>
        <xdr:cNvPr id="47" name="Rechte verbindingslijn met pijl 46">
          <a:extLst>
            <a:ext uri="{FF2B5EF4-FFF2-40B4-BE49-F238E27FC236}">
              <a16:creationId xmlns:a16="http://schemas.microsoft.com/office/drawing/2014/main" id="{854D2329-411B-45A7-A289-F5FF7891C0E7}"/>
            </a:ext>
          </a:extLst>
        </xdr:cNvPr>
        <xdr:cNvCxnSpPr/>
      </xdr:nvCxnSpPr>
      <xdr:spPr>
        <a:xfrm>
          <a:off x="29266166" y="13843467"/>
          <a:ext cx="0" cy="17745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264809</xdr:colOff>
      <xdr:row>5</xdr:row>
      <xdr:rowOff>10808</xdr:rowOff>
    </xdr:from>
    <xdr:to>
      <xdr:col>37</xdr:col>
      <xdr:colOff>264809</xdr:colOff>
      <xdr:row>6</xdr:row>
      <xdr:rowOff>6837</xdr:rowOff>
    </xdr:to>
    <xdr:cxnSp macro="">
      <xdr:nvCxnSpPr>
        <xdr:cNvPr id="48" name="Rechte verbindingslijn met pijl 47">
          <a:extLst>
            <a:ext uri="{FF2B5EF4-FFF2-40B4-BE49-F238E27FC236}">
              <a16:creationId xmlns:a16="http://schemas.microsoft.com/office/drawing/2014/main" id="{ACFD7339-D6D5-44D8-9961-38E6C1DAADEC}"/>
            </a:ext>
          </a:extLst>
        </xdr:cNvPr>
        <xdr:cNvCxnSpPr/>
      </xdr:nvCxnSpPr>
      <xdr:spPr>
        <a:xfrm>
          <a:off x="32486523" y="13843467"/>
          <a:ext cx="0" cy="17745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264809</xdr:colOff>
      <xdr:row>5</xdr:row>
      <xdr:rowOff>10808</xdr:rowOff>
    </xdr:from>
    <xdr:to>
      <xdr:col>42</xdr:col>
      <xdr:colOff>264809</xdr:colOff>
      <xdr:row>6</xdr:row>
      <xdr:rowOff>6837</xdr:rowOff>
    </xdr:to>
    <xdr:cxnSp macro="">
      <xdr:nvCxnSpPr>
        <xdr:cNvPr id="49" name="Rechte verbindingslijn met pijl 48">
          <a:extLst>
            <a:ext uri="{FF2B5EF4-FFF2-40B4-BE49-F238E27FC236}">
              <a16:creationId xmlns:a16="http://schemas.microsoft.com/office/drawing/2014/main" id="{C00BE18D-0D5C-47CB-A8A7-F19BA8E90F2F}"/>
            </a:ext>
          </a:extLst>
        </xdr:cNvPr>
        <xdr:cNvCxnSpPr/>
      </xdr:nvCxnSpPr>
      <xdr:spPr>
        <a:xfrm>
          <a:off x="35652452" y="13843467"/>
          <a:ext cx="0" cy="17745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264809</xdr:colOff>
      <xdr:row>5</xdr:row>
      <xdr:rowOff>10808</xdr:rowOff>
    </xdr:from>
    <xdr:to>
      <xdr:col>51</xdr:col>
      <xdr:colOff>264809</xdr:colOff>
      <xdr:row>6</xdr:row>
      <xdr:rowOff>6837</xdr:rowOff>
    </xdr:to>
    <xdr:cxnSp macro="">
      <xdr:nvCxnSpPr>
        <xdr:cNvPr id="50" name="Rechte verbindingslijn met pijl 49">
          <a:extLst>
            <a:ext uri="{FF2B5EF4-FFF2-40B4-BE49-F238E27FC236}">
              <a16:creationId xmlns:a16="http://schemas.microsoft.com/office/drawing/2014/main" id="{F0CA448F-D768-4238-BD90-D2A265540B36}"/>
            </a:ext>
          </a:extLst>
        </xdr:cNvPr>
        <xdr:cNvCxnSpPr/>
      </xdr:nvCxnSpPr>
      <xdr:spPr>
        <a:xfrm>
          <a:off x="41122523" y="13843467"/>
          <a:ext cx="0" cy="17745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264809</xdr:colOff>
      <xdr:row>5</xdr:row>
      <xdr:rowOff>10808</xdr:rowOff>
    </xdr:from>
    <xdr:to>
      <xdr:col>56</xdr:col>
      <xdr:colOff>264809</xdr:colOff>
      <xdr:row>6</xdr:row>
      <xdr:rowOff>6837</xdr:rowOff>
    </xdr:to>
    <xdr:cxnSp macro="">
      <xdr:nvCxnSpPr>
        <xdr:cNvPr id="51" name="Rechte verbindingslijn met pijl 50">
          <a:extLst>
            <a:ext uri="{FF2B5EF4-FFF2-40B4-BE49-F238E27FC236}">
              <a16:creationId xmlns:a16="http://schemas.microsoft.com/office/drawing/2014/main" id="{3F66A928-6072-4D17-910F-5BA946336EFC}"/>
            </a:ext>
          </a:extLst>
        </xdr:cNvPr>
        <xdr:cNvCxnSpPr/>
      </xdr:nvCxnSpPr>
      <xdr:spPr>
        <a:xfrm>
          <a:off x="44445868" y="14233538"/>
          <a:ext cx="0" cy="18279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53B9-82ED-4EEA-965E-9C3BF4370666}">
  <dimension ref="A1:AI26"/>
  <sheetViews>
    <sheetView tabSelected="1" zoomScale="85" zoomScaleNormal="85" workbookViewId="0">
      <selection activeCell="A3" sqref="A3:A14"/>
    </sheetView>
  </sheetViews>
  <sheetFormatPr defaultRowHeight="14.5" x14ac:dyDescent="0.35"/>
  <sheetData>
    <row r="1" spans="1:35" x14ac:dyDescent="0.35">
      <c r="A1" s="1" t="s">
        <v>116</v>
      </c>
      <c r="O1" t="s">
        <v>100</v>
      </c>
    </row>
    <row r="2" spans="1:35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O2" s="3" t="s">
        <v>12</v>
      </c>
      <c r="P2" s="3"/>
      <c r="Q2" s="3"/>
    </row>
    <row r="3" spans="1:35" x14ac:dyDescent="0.35">
      <c r="A3" s="4" t="s">
        <v>0</v>
      </c>
      <c r="B3">
        <v>0</v>
      </c>
      <c r="C3">
        <v>6</v>
      </c>
      <c r="D3">
        <v>3</v>
      </c>
      <c r="E3">
        <v>4</v>
      </c>
      <c r="F3">
        <v>2</v>
      </c>
      <c r="G3">
        <v>3</v>
      </c>
      <c r="H3">
        <v>1</v>
      </c>
      <c r="I3">
        <v>1</v>
      </c>
      <c r="J3">
        <v>1</v>
      </c>
      <c r="K3">
        <v>4</v>
      </c>
      <c r="L3">
        <v>4</v>
      </c>
      <c r="M3">
        <v>3</v>
      </c>
      <c r="O3" s="5" t="s">
        <v>13</v>
      </c>
      <c r="P3" s="5"/>
      <c r="Q3" s="5"/>
    </row>
    <row r="4" spans="1:35" x14ac:dyDescent="0.35">
      <c r="A4" s="4" t="s">
        <v>1</v>
      </c>
      <c r="B4">
        <v>6</v>
      </c>
      <c r="C4">
        <v>0</v>
      </c>
      <c r="D4">
        <v>3</v>
      </c>
      <c r="E4">
        <v>4</v>
      </c>
      <c r="F4">
        <v>2</v>
      </c>
      <c r="G4">
        <v>3</v>
      </c>
      <c r="H4">
        <v>1</v>
      </c>
      <c r="I4">
        <v>1</v>
      </c>
      <c r="J4">
        <v>1</v>
      </c>
      <c r="K4">
        <v>2</v>
      </c>
      <c r="L4">
        <v>3</v>
      </c>
      <c r="M4">
        <v>2</v>
      </c>
      <c r="O4" s="6" t="s">
        <v>14</v>
      </c>
      <c r="P4" s="6"/>
      <c r="Q4" s="6"/>
    </row>
    <row r="5" spans="1:35" x14ac:dyDescent="0.35">
      <c r="A5" s="4" t="s">
        <v>2</v>
      </c>
      <c r="B5">
        <v>3</v>
      </c>
      <c r="C5">
        <v>3</v>
      </c>
      <c r="D5">
        <v>0</v>
      </c>
      <c r="E5">
        <v>2</v>
      </c>
      <c r="F5" s="5">
        <v>1</v>
      </c>
      <c r="G5" s="7">
        <v>2</v>
      </c>
      <c r="H5">
        <v>1</v>
      </c>
      <c r="I5">
        <v>1</v>
      </c>
      <c r="J5">
        <v>1</v>
      </c>
      <c r="K5">
        <v>2</v>
      </c>
      <c r="L5">
        <v>2</v>
      </c>
      <c r="M5">
        <v>2</v>
      </c>
      <c r="O5" s="7" t="s">
        <v>15</v>
      </c>
      <c r="P5" s="7"/>
      <c r="Q5" s="8"/>
    </row>
    <row r="6" spans="1:35" x14ac:dyDescent="0.35">
      <c r="A6" s="4" t="s">
        <v>3</v>
      </c>
      <c r="B6">
        <v>4</v>
      </c>
      <c r="C6" s="9">
        <v>3</v>
      </c>
      <c r="D6" s="5">
        <v>2</v>
      </c>
      <c r="E6">
        <v>0</v>
      </c>
      <c r="F6">
        <v>2</v>
      </c>
      <c r="G6">
        <v>3</v>
      </c>
      <c r="H6">
        <v>1</v>
      </c>
      <c r="I6">
        <v>1</v>
      </c>
      <c r="J6">
        <v>1</v>
      </c>
      <c r="K6">
        <v>2</v>
      </c>
      <c r="L6">
        <v>3</v>
      </c>
      <c r="M6">
        <v>2</v>
      </c>
      <c r="O6" s="9" t="s">
        <v>16</v>
      </c>
      <c r="P6" s="9"/>
      <c r="Q6" s="9"/>
    </row>
    <row r="7" spans="1:35" x14ac:dyDescent="0.35">
      <c r="A7" s="4" t="s">
        <v>4</v>
      </c>
      <c r="B7">
        <v>2</v>
      </c>
      <c r="C7" s="10">
        <v>2</v>
      </c>
      <c r="D7" s="3">
        <v>2</v>
      </c>
      <c r="E7" s="3">
        <v>1</v>
      </c>
      <c r="F7">
        <v>0</v>
      </c>
      <c r="G7">
        <v>2</v>
      </c>
      <c r="H7">
        <v>0</v>
      </c>
      <c r="I7">
        <v>0</v>
      </c>
      <c r="J7">
        <v>1</v>
      </c>
      <c r="K7">
        <v>2</v>
      </c>
      <c r="L7">
        <v>2</v>
      </c>
      <c r="M7">
        <v>2</v>
      </c>
      <c r="O7" s="10" t="s">
        <v>17</v>
      </c>
      <c r="P7" s="10"/>
      <c r="Q7" s="10"/>
    </row>
    <row r="8" spans="1:35" x14ac:dyDescent="0.35">
      <c r="A8" s="4" t="s">
        <v>5</v>
      </c>
      <c r="B8">
        <v>3</v>
      </c>
      <c r="C8" s="10">
        <v>2</v>
      </c>
      <c r="D8" s="3">
        <v>2</v>
      </c>
      <c r="E8" s="3">
        <v>2</v>
      </c>
      <c r="F8" s="3">
        <v>1</v>
      </c>
      <c r="G8">
        <v>0</v>
      </c>
      <c r="H8" s="3">
        <v>1</v>
      </c>
      <c r="I8">
        <v>0</v>
      </c>
      <c r="J8">
        <v>1</v>
      </c>
      <c r="K8">
        <v>2</v>
      </c>
      <c r="L8">
        <v>2</v>
      </c>
      <c r="M8">
        <v>2</v>
      </c>
    </row>
    <row r="9" spans="1:35" x14ac:dyDescent="0.35">
      <c r="A9" s="4" t="s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O9" s="2" t="s">
        <v>19</v>
      </c>
    </row>
    <row r="10" spans="1:35" x14ac:dyDescent="0.35">
      <c r="A10" s="4" t="s">
        <v>7</v>
      </c>
      <c r="B10">
        <v>1</v>
      </c>
      <c r="C10">
        <v>1</v>
      </c>
      <c r="D10" s="5">
        <v>1</v>
      </c>
      <c r="E10" s="3">
        <v>1</v>
      </c>
      <c r="F10">
        <v>0</v>
      </c>
      <c r="G10" s="5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O10" s="4" t="s">
        <v>21</v>
      </c>
    </row>
    <row r="11" spans="1:35" x14ac:dyDescent="0.35">
      <c r="A11" s="4" t="s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35" x14ac:dyDescent="0.35">
      <c r="A12" s="4" t="s">
        <v>9</v>
      </c>
      <c r="B12">
        <v>4</v>
      </c>
      <c r="C12">
        <v>3</v>
      </c>
      <c r="D12">
        <v>3</v>
      </c>
      <c r="E12">
        <v>3</v>
      </c>
      <c r="F12">
        <v>1</v>
      </c>
      <c r="G12">
        <v>2</v>
      </c>
      <c r="H12">
        <v>1</v>
      </c>
      <c r="I12">
        <v>1</v>
      </c>
      <c r="J12" s="6">
        <v>1</v>
      </c>
      <c r="K12">
        <v>0</v>
      </c>
      <c r="L12" s="6">
        <v>3</v>
      </c>
      <c r="M12" s="6">
        <v>2</v>
      </c>
    </row>
    <row r="13" spans="1:35" x14ac:dyDescent="0.35">
      <c r="A13" s="4" t="s">
        <v>10</v>
      </c>
      <c r="B13">
        <v>5</v>
      </c>
      <c r="C13">
        <v>3</v>
      </c>
      <c r="D13">
        <v>3</v>
      </c>
      <c r="E13">
        <v>3</v>
      </c>
      <c r="F13">
        <v>1</v>
      </c>
      <c r="G13">
        <v>2</v>
      </c>
      <c r="H13">
        <v>1</v>
      </c>
      <c r="I13">
        <v>1</v>
      </c>
      <c r="J13">
        <v>1</v>
      </c>
      <c r="K13">
        <v>4</v>
      </c>
      <c r="L13">
        <v>0</v>
      </c>
      <c r="M13">
        <v>3</v>
      </c>
    </row>
    <row r="14" spans="1:35" x14ac:dyDescent="0.35">
      <c r="A14" s="4" t="s">
        <v>11</v>
      </c>
      <c r="B14">
        <v>3</v>
      </c>
      <c r="C14">
        <v>2</v>
      </c>
      <c r="D14">
        <v>2</v>
      </c>
      <c r="E14">
        <v>2</v>
      </c>
      <c r="F14">
        <v>1</v>
      </c>
      <c r="G14">
        <v>2</v>
      </c>
      <c r="H14">
        <v>1</v>
      </c>
      <c r="I14">
        <v>1</v>
      </c>
      <c r="J14" s="6">
        <v>1</v>
      </c>
      <c r="K14">
        <v>3</v>
      </c>
      <c r="L14" s="6">
        <v>2</v>
      </c>
      <c r="M14">
        <v>0</v>
      </c>
    </row>
    <row r="15" spans="1:35" x14ac:dyDescent="0.35">
      <c r="A15" s="11" t="s">
        <v>18</v>
      </c>
      <c r="B15" s="11">
        <f>SUM(B3:B14)</f>
        <v>33</v>
      </c>
      <c r="C15" s="11">
        <f t="shared" ref="C15:M15" si="0">SUM(C3:C14)</f>
        <v>25</v>
      </c>
      <c r="D15" s="11">
        <f t="shared" si="0"/>
        <v>21</v>
      </c>
      <c r="E15" s="11">
        <f t="shared" si="0"/>
        <v>22</v>
      </c>
      <c r="F15" s="11">
        <f t="shared" si="0"/>
        <v>11</v>
      </c>
      <c r="G15" s="11">
        <f t="shared" si="0"/>
        <v>21</v>
      </c>
      <c r="H15" s="11">
        <f t="shared" si="0"/>
        <v>9</v>
      </c>
      <c r="I15" s="11">
        <f t="shared" si="0"/>
        <v>7</v>
      </c>
      <c r="J15" s="11">
        <f t="shared" si="0"/>
        <v>10</v>
      </c>
      <c r="K15" s="11">
        <f t="shared" si="0"/>
        <v>22</v>
      </c>
      <c r="L15" s="11">
        <f t="shared" si="0"/>
        <v>22</v>
      </c>
      <c r="M15" s="11">
        <f t="shared" si="0"/>
        <v>19</v>
      </c>
      <c r="X15">
        <v>0</v>
      </c>
      <c r="Y15">
        <v>6</v>
      </c>
      <c r="Z15">
        <v>3</v>
      </c>
      <c r="AA15">
        <v>4</v>
      </c>
      <c r="AB15">
        <v>2</v>
      </c>
      <c r="AC15">
        <v>3</v>
      </c>
      <c r="AD15">
        <v>1</v>
      </c>
      <c r="AE15">
        <v>1</v>
      </c>
      <c r="AF15">
        <v>1</v>
      </c>
      <c r="AG15">
        <v>4</v>
      </c>
      <c r="AH15">
        <v>4</v>
      </c>
      <c r="AI15">
        <v>3</v>
      </c>
    </row>
    <row r="16" spans="1:35" x14ac:dyDescent="0.35">
      <c r="X16">
        <v>6</v>
      </c>
      <c r="Y16">
        <v>0</v>
      </c>
      <c r="Z16">
        <v>3</v>
      </c>
      <c r="AA16">
        <v>4</v>
      </c>
      <c r="AB16">
        <v>2</v>
      </c>
      <c r="AC16">
        <v>3</v>
      </c>
      <c r="AD16">
        <v>1</v>
      </c>
      <c r="AE16">
        <v>1</v>
      </c>
      <c r="AF16">
        <v>1</v>
      </c>
      <c r="AG16">
        <v>2</v>
      </c>
      <c r="AH16">
        <v>3</v>
      </c>
      <c r="AI16">
        <v>2</v>
      </c>
    </row>
    <row r="17" spans="24:35" x14ac:dyDescent="0.35">
      <c r="X17">
        <v>3</v>
      </c>
      <c r="Y17">
        <v>3</v>
      </c>
      <c r="Z17">
        <v>0</v>
      </c>
      <c r="AA17">
        <v>2</v>
      </c>
      <c r="AB17">
        <v>1</v>
      </c>
      <c r="AC17">
        <v>2</v>
      </c>
      <c r="AD17">
        <v>1</v>
      </c>
      <c r="AE17">
        <v>1</v>
      </c>
      <c r="AF17">
        <v>1</v>
      </c>
      <c r="AG17">
        <v>2</v>
      </c>
      <c r="AH17">
        <v>2</v>
      </c>
      <c r="AI17">
        <v>2</v>
      </c>
    </row>
    <row r="18" spans="24:35" x14ac:dyDescent="0.35">
      <c r="X18">
        <v>4</v>
      </c>
      <c r="Y18">
        <v>3</v>
      </c>
      <c r="Z18">
        <v>2</v>
      </c>
      <c r="AA18">
        <v>0</v>
      </c>
      <c r="AB18">
        <v>2</v>
      </c>
      <c r="AC18">
        <v>3</v>
      </c>
      <c r="AD18">
        <v>1</v>
      </c>
      <c r="AE18">
        <v>1</v>
      </c>
      <c r="AF18">
        <v>1</v>
      </c>
      <c r="AG18">
        <v>2</v>
      </c>
      <c r="AH18">
        <v>3</v>
      </c>
      <c r="AI18">
        <v>2</v>
      </c>
    </row>
    <row r="19" spans="24:35" x14ac:dyDescent="0.35">
      <c r="X19">
        <v>2</v>
      </c>
      <c r="Y19">
        <v>2</v>
      </c>
      <c r="Z19">
        <v>2</v>
      </c>
      <c r="AA19">
        <v>1</v>
      </c>
      <c r="AB19">
        <v>0</v>
      </c>
      <c r="AC19">
        <v>2</v>
      </c>
      <c r="AD19">
        <v>0</v>
      </c>
      <c r="AE19">
        <v>0</v>
      </c>
      <c r="AF19">
        <v>1</v>
      </c>
      <c r="AG19">
        <v>2</v>
      </c>
      <c r="AH19">
        <v>2</v>
      </c>
      <c r="AI19">
        <v>2</v>
      </c>
    </row>
    <row r="20" spans="24:35" x14ac:dyDescent="0.35">
      <c r="X20">
        <v>3</v>
      </c>
      <c r="Y20">
        <v>2</v>
      </c>
      <c r="Z20">
        <v>2</v>
      </c>
      <c r="AA20">
        <v>2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2</v>
      </c>
      <c r="AH20">
        <v>2</v>
      </c>
      <c r="AI20">
        <v>2</v>
      </c>
    </row>
    <row r="21" spans="24:35" x14ac:dyDescent="0.35"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24:35" x14ac:dyDescent="0.35">
      <c r="X22">
        <v>1</v>
      </c>
      <c r="Y22">
        <v>1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1</v>
      </c>
    </row>
    <row r="23" spans="24:35" x14ac:dyDescent="0.35"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24:35" x14ac:dyDescent="0.35">
      <c r="X24">
        <v>4</v>
      </c>
      <c r="Y24">
        <v>3</v>
      </c>
      <c r="Z24">
        <v>3</v>
      </c>
      <c r="AA24">
        <v>3</v>
      </c>
      <c r="AB24">
        <v>1</v>
      </c>
      <c r="AC24">
        <v>2</v>
      </c>
      <c r="AD24">
        <v>1</v>
      </c>
      <c r="AE24">
        <v>1</v>
      </c>
      <c r="AF24">
        <v>1</v>
      </c>
      <c r="AG24">
        <v>0</v>
      </c>
      <c r="AH24">
        <v>3</v>
      </c>
      <c r="AI24">
        <v>2</v>
      </c>
    </row>
    <row r="25" spans="24:35" x14ac:dyDescent="0.35">
      <c r="X25">
        <v>5</v>
      </c>
      <c r="Y25">
        <v>3</v>
      </c>
      <c r="Z25">
        <v>3</v>
      </c>
      <c r="AA25">
        <v>3</v>
      </c>
      <c r="AB25">
        <v>1</v>
      </c>
      <c r="AC25">
        <v>2</v>
      </c>
      <c r="AD25">
        <v>1</v>
      </c>
      <c r="AE25">
        <v>1</v>
      </c>
      <c r="AF25">
        <v>1</v>
      </c>
      <c r="AG25">
        <v>4</v>
      </c>
      <c r="AH25">
        <v>0</v>
      </c>
      <c r="AI25">
        <v>3</v>
      </c>
    </row>
    <row r="26" spans="24:35" x14ac:dyDescent="0.35">
      <c r="X26">
        <v>3</v>
      </c>
      <c r="Y26">
        <v>2</v>
      </c>
      <c r="Z26">
        <v>2</v>
      </c>
      <c r="AA26">
        <v>2</v>
      </c>
      <c r="AB26">
        <v>1</v>
      </c>
      <c r="AC26">
        <v>2</v>
      </c>
      <c r="AD26">
        <v>1</v>
      </c>
      <c r="AE26">
        <v>1</v>
      </c>
      <c r="AF26">
        <v>1</v>
      </c>
      <c r="AG26">
        <v>3</v>
      </c>
      <c r="AH26">
        <v>2</v>
      </c>
      <c r="AI26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835E-D4FF-49D6-B22E-575CBA0E75F4}">
  <dimension ref="A1:CD88"/>
  <sheetViews>
    <sheetView topLeftCell="E2" zoomScale="70" zoomScaleNormal="70" workbookViewId="0">
      <selection activeCell="D15" sqref="D15"/>
    </sheetView>
  </sheetViews>
  <sheetFormatPr defaultRowHeight="14.5" x14ac:dyDescent="0.35"/>
  <cols>
    <col min="2" max="2" width="10.6328125" customWidth="1"/>
    <col min="7" max="7" width="11.54296875" customWidth="1"/>
    <col min="12" max="12" width="11.1796875" customWidth="1"/>
    <col min="17" max="17" width="10.1796875" customWidth="1"/>
    <col min="22" max="22" width="11.08984375" customWidth="1"/>
    <col min="27" max="27" width="10" customWidth="1"/>
    <col min="32" max="32" width="10.08984375" customWidth="1"/>
    <col min="37" max="37" width="9.90625" customWidth="1"/>
    <col min="42" max="42" width="10" customWidth="1"/>
    <col min="47" max="47" width="10.08984375" customWidth="1"/>
    <col min="51" max="51" width="10.36328125" customWidth="1"/>
    <col min="56" max="56" width="10.81640625" customWidth="1"/>
  </cols>
  <sheetData>
    <row r="1" spans="1:58" x14ac:dyDescent="0.35">
      <c r="A1" s="2" t="s">
        <v>19</v>
      </c>
      <c r="F1" s="12" t="s">
        <v>20</v>
      </c>
      <c r="G1" s="12"/>
      <c r="H1" s="12"/>
      <c r="I1" s="12"/>
    </row>
    <row r="2" spans="1:58" x14ac:dyDescent="0.35">
      <c r="A2" s="4" t="s">
        <v>21</v>
      </c>
      <c r="F2" s="13" t="s">
        <v>22</v>
      </c>
      <c r="G2" s="13"/>
      <c r="H2" s="13"/>
      <c r="I2" s="13"/>
    </row>
    <row r="3" spans="1:58" x14ac:dyDescent="0.35">
      <c r="A3" t="s">
        <v>23</v>
      </c>
      <c r="B3" t="s">
        <v>117</v>
      </c>
    </row>
    <row r="5" spans="1:58" ht="14.4" customHeight="1" x14ac:dyDescent="0.35">
      <c r="A5" s="14" t="s">
        <v>0</v>
      </c>
      <c r="B5" s="59" t="s">
        <v>98</v>
      </c>
      <c r="C5" t="s">
        <v>24</v>
      </c>
      <c r="E5" s="16"/>
      <c r="F5" s="2" t="s">
        <v>1</v>
      </c>
      <c r="G5" s="59" t="s">
        <v>98</v>
      </c>
      <c r="H5" t="s">
        <v>25</v>
      </c>
      <c r="J5" s="16"/>
      <c r="K5" s="14" t="s">
        <v>2</v>
      </c>
      <c r="L5" s="59" t="s">
        <v>98</v>
      </c>
      <c r="M5" t="s">
        <v>25</v>
      </c>
      <c r="O5" s="16"/>
      <c r="P5" s="2" t="s">
        <v>3</v>
      </c>
      <c r="Q5" s="59" t="s">
        <v>98</v>
      </c>
      <c r="R5" t="s">
        <v>25</v>
      </c>
      <c r="U5" s="17" t="s">
        <v>4</v>
      </c>
      <c r="V5" s="59" t="s">
        <v>98</v>
      </c>
      <c r="W5" t="s">
        <v>25</v>
      </c>
      <c r="Y5" s="16"/>
      <c r="Z5" s="2" t="s">
        <v>5</v>
      </c>
      <c r="AA5" s="59" t="s">
        <v>98</v>
      </c>
      <c r="AB5" t="s">
        <v>25</v>
      </c>
      <c r="AD5" s="16"/>
      <c r="AE5" s="2" t="s">
        <v>6</v>
      </c>
      <c r="AF5" s="59" t="s">
        <v>98</v>
      </c>
      <c r="AG5" t="s">
        <v>25</v>
      </c>
      <c r="AI5" s="16"/>
      <c r="AJ5" s="2" t="s">
        <v>7</v>
      </c>
      <c r="AK5" s="59" t="s">
        <v>98</v>
      </c>
      <c r="AL5" t="s">
        <v>25</v>
      </c>
      <c r="AN5" s="16"/>
      <c r="AO5" s="2" t="s">
        <v>8</v>
      </c>
      <c r="AP5" s="59" t="s">
        <v>98</v>
      </c>
      <c r="AQ5" t="s">
        <v>25</v>
      </c>
      <c r="AS5" s="16"/>
      <c r="AT5" s="2" t="s">
        <v>9</v>
      </c>
      <c r="AU5" s="59" t="s">
        <v>98</v>
      </c>
      <c r="AW5" s="16"/>
      <c r="AX5" s="2" t="s">
        <v>10</v>
      </c>
      <c r="AY5" s="59" t="s">
        <v>98</v>
      </c>
      <c r="AZ5" t="s">
        <v>25</v>
      </c>
      <c r="BB5" s="16"/>
      <c r="BC5" s="2" t="s">
        <v>11</v>
      </c>
      <c r="BD5" s="59" t="s">
        <v>98</v>
      </c>
      <c r="BE5" t="s">
        <v>25</v>
      </c>
    </row>
    <row r="6" spans="1:58" ht="31.75" customHeight="1" x14ac:dyDescent="0.35">
      <c r="B6" s="59"/>
      <c r="D6" s="1" t="s">
        <v>26</v>
      </c>
      <c r="E6" s="16"/>
      <c r="G6" s="59"/>
      <c r="I6" s="1" t="s">
        <v>26</v>
      </c>
      <c r="J6" s="16"/>
      <c r="K6" s="15"/>
      <c r="L6" s="59"/>
      <c r="N6" s="1" t="s">
        <v>26</v>
      </c>
      <c r="O6" s="16"/>
      <c r="Q6" s="59"/>
      <c r="S6" s="1" t="s">
        <v>26</v>
      </c>
      <c r="U6" s="18"/>
      <c r="V6" s="59"/>
      <c r="X6" s="1" t="s">
        <v>26</v>
      </c>
      <c r="Y6" s="16"/>
      <c r="AA6" s="59"/>
      <c r="AC6" s="1" t="s">
        <v>26</v>
      </c>
      <c r="AD6" s="16"/>
      <c r="AF6" s="59"/>
      <c r="AH6" s="1" t="s">
        <v>26</v>
      </c>
      <c r="AI6" s="16"/>
      <c r="AK6" s="59"/>
      <c r="AM6" s="1" t="s">
        <v>26</v>
      </c>
      <c r="AN6" s="16"/>
      <c r="AP6" s="59"/>
      <c r="AR6" s="1" t="s">
        <v>26</v>
      </c>
      <c r="AS6" s="16"/>
      <c r="AU6" s="59"/>
      <c r="AV6" t="s">
        <v>27</v>
      </c>
      <c r="AW6" s="16"/>
      <c r="AY6" s="59"/>
      <c r="BA6" s="1" t="s">
        <v>26</v>
      </c>
      <c r="BB6" s="16"/>
      <c r="BD6" s="59"/>
      <c r="BF6" s="1" t="s">
        <v>26</v>
      </c>
    </row>
    <row r="7" spans="1:58" x14ac:dyDescent="0.35">
      <c r="A7" s="4" t="s">
        <v>0</v>
      </c>
      <c r="B7">
        <v>0</v>
      </c>
      <c r="C7">
        <v>0</v>
      </c>
      <c r="D7" s="1">
        <v>0</v>
      </c>
      <c r="E7" s="16"/>
      <c r="F7" s="4" t="s">
        <v>0</v>
      </c>
      <c r="G7" t="s">
        <v>23</v>
      </c>
      <c r="H7" t="s">
        <v>29</v>
      </c>
      <c r="I7" s="1" t="s">
        <v>29</v>
      </c>
      <c r="J7" s="19"/>
      <c r="K7" s="4" t="s">
        <v>0</v>
      </c>
      <c r="L7">
        <f>0.67*0.12*417</f>
        <v>33.526800000000001</v>
      </c>
      <c r="M7" t="s">
        <v>31</v>
      </c>
      <c r="N7" s="1" t="s">
        <v>31</v>
      </c>
      <c r="O7" s="19"/>
      <c r="P7" s="4" t="s">
        <v>0</v>
      </c>
      <c r="Q7">
        <f>0.67*0.09*417</f>
        <v>25.145099999999999</v>
      </c>
      <c r="R7" t="s">
        <v>31</v>
      </c>
      <c r="S7" s="1" t="s">
        <v>31</v>
      </c>
      <c r="T7" s="20"/>
      <c r="U7" s="21" t="s">
        <v>0</v>
      </c>
      <c r="V7">
        <f>0.67*0.08*417</f>
        <v>22.351200000000002</v>
      </c>
      <c r="W7" t="s">
        <v>31</v>
      </c>
      <c r="X7" s="22" t="s">
        <v>31</v>
      </c>
      <c r="Y7" s="19"/>
      <c r="Z7" s="4" t="s">
        <v>0</v>
      </c>
      <c r="AA7">
        <f>0.67*0.53*417</f>
        <v>148.07670000000002</v>
      </c>
      <c r="AB7" t="s">
        <v>29</v>
      </c>
      <c r="AC7" s="1" t="s">
        <v>29</v>
      </c>
      <c r="AD7" s="19"/>
      <c r="AE7" s="4" t="s">
        <v>0</v>
      </c>
      <c r="AF7">
        <f>0.67*0.09*417</f>
        <v>25.145099999999999</v>
      </c>
      <c r="AG7" t="s">
        <v>31</v>
      </c>
      <c r="AH7" s="1" t="s">
        <v>31</v>
      </c>
      <c r="AI7" s="19"/>
      <c r="AJ7" s="4" t="s">
        <v>0</v>
      </c>
      <c r="AK7">
        <f>0.23*0.02*417</f>
        <v>1.9181999999999999</v>
      </c>
      <c r="AL7" t="s">
        <v>31</v>
      </c>
      <c r="AM7" s="1" t="s">
        <v>31</v>
      </c>
      <c r="AN7" s="16"/>
      <c r="AO7" s="4" t="s">
        <v>0</v>
      </c>
      <c r="AP7">
        <f>880*0.16</f>
        <v>140.80000000000001</v>
      </c>
      <c r="AQ7" s="23" t="s">
        <v>29</v>
      </c>
      <c r="AR7" s="22" t="s">
        <v>29</v>
      </c>
      <c r="AS7" s="19"/>
      <c r="AT7" s="4" t="s">
        <v>0</v>
      </c>
      <c r="AU7" s="44">
        <f>880*0.15</f>
        <v>132</v>
      </c>
      <c r="AV7" s="1" t="s">
        <v>29</v>
      </c>
      <c r="AW7" s="19"/>
      <c r="AX7" s="4" t="s">
        <v>0</v>
      </c>
      <c r="AY7">
        <f>880*0.18</f>
        <v>158.4</v>
      </c>
      <c r="AZ7" t="s">
        <v>29</v>
      </c>
      <c r="BA7" s="1" t="s">
        <v>29</v>
      </c>
      <c r="BB7" s="19"/>
      <c r="BC7" s="4" t="s">
        <v>0</v>
      </c>
      <c r="BD7">
        <f>880*0.1</f>
        <v>88</v>
      </c>
      <c r="BE7" t="s">
        <v>29</v>
      </c>
      <c r="BF7" s="1" t="s">
        <v>29</v>
      </c>
    </row>
    <row r="8" spans="1:58" x14ac:dyDescent="0.35">
      <c r="A8" s="4" t="s">
        <v>1</v>
      </c>
      <c r="B8" t="s">
        <v>23</v>
      </c>
      <c r="C8" t="s">
        <v>29</v>
      </c>
      <c r="D8" s="1" t="s">
        <v>29</v>
      </c>
      <c r="E8" s="16"/>
      <c r="F8" s="4" t="s">
        <v>1</v>
      </c>
      <c r="G8">
        <v>0</v>
      </c>
      <c r="H8">
        <v>0</v>
      </c>
      <c r="I8" s="1">
        <v>0</v>
      </c>
      <c r="J8" s="16"/>
      <c r="K8" s="4" t="s">
        <v>1</v>
      </c>
      <c r="L8">
        <f>0.26*0.75*1060</f>
        <v>206.70000000000002</v>
      </c>
      <c r="M8" t="s">
        <v>29</v>
      </c>
      <c r="N8" s="1" t="s">
        <v>29</v>
      </c>
      <c r="O8" s="16"/>
      <c r="P8" s="4" t="s">
        <v>1</v>
      </c>
      <c r="Q8">
        <f>0.09*0.75*1060</f>
        <v>71.550000000000011</v>
      </c>
      <c r="R8" t="s">
        <v>30</v>
      </c>
      <c r="S8" s="1" t="s">
        <v>30</v>
      </c>
      <c r="U8" s="21" t="s">
        <v>1</v>
      </c>
      <c r="V8">
        <f>0.3*0.75*1060</f>
        <v>238.49999999999997</v>
      </c>
      <c r="W8" t="s">
        <v>29</v>
      </c>
      <c r="X8" s="22" t="s">
        <v>29</v>
      </c>
      <c r="Y8" s="16"/>
      <c r="Z8" s="4" t="s">
        <v>1</v>
      </c>
      <c r="AA8">
        <f>0.19*0.75*1060</f>
        <v>151.05000000000001</v>
      </c>
      <c r="AB8" s="24" t="s">
        <v>29</v>
      </c>
      <c r="AC8" s="1" t="s">
        <v>29</v>
      </c>
      <c r="AD8" s="16"/>
      <c r="AE8" s="4" t="s">
        <v>1</v>
      </c>
      <c r="AF8">
        <f>0.08*0.75*1060</f>
        <v>63.599999999999994</v>
      </c>
      <c r="AG8" t="s">
        <v>30</v>
      </c>
      <c r="AH8" s="1" t="s">
        <v>30</v>
      </c>
      <c r="AI8" s="16"/>
      <c r="AJ8" s="4" t="s">
        <v>1</v>
      </c>
      <c r="AK8">
        <f>0.08*0.19*1060</f>
        <v>16.111999999999998</v>
      </c>
      <c r="AL8" t="s">
        <v>29</v>
      </c>
      <c r="AM8" s="1" t="s">
        <v>29</v>
      </c>
      <c r="AN8" s="16"/>
      <c r="AO8" s="4" t="s">
        <v>1</v>
      </c>
      <c r="AP8" t="s">
        <v>23</v>
      </c>
      <c r="AQ8" s="23" t="s">
        <v>34</v>
      </c>
      <c r="AR8" s="51" t="s">
        <v>34</v>
      </c>
      <c r="AS8" s="16"/>
      <c r="AT8" s="4" t="s">
        <v>1</v>
      </c>
      <c r="AU8" t="s">
        <v>23</v>
      </c>
      <c r="AV8" s="1" t="s">
        <v>34</v>
      </c>
      <c r="AW8" s="16"/>
      <c r="AX8" s="4" t="s">
        <v>1</v>
      </c>
      <c r="AY8" t="s">
        <v>23</v>
      </c>
      <c r="AZ8" t="s">
        <v>34</v>
      </c>
      <c r="BA8" s="1" t="s">
        <v>34</v>
      </c>
      <c r="BB8" s="16"/>
      <c r="BC8" s="4" t="s">
        <v>1</v>
      </c>
      <c r="BD8" t="s">
        <v>23</v>
      </c>
      <c r="BE8" t="s">
        <v>34</v>
      </c>
      <c r="BF8" s="1" t="s">
        <v>34</v>
      </c>
    </row>
    <row r="9" spans="1:58" x14ac:dyDescent="0.35">
      <c r="A9" s="4" t="s">
        <v>2</v>
      </c>
      <c r="B9">
        <f>463*0.67*0.12</f>
        <v>37.225200000000001</v>
      </c>
      <c r="C9" t="s">
        <v>31</v>
      </c>
      <c r="D9" s="1" t="s">
        <v>31</v>
      </c>
      <c r="E9" s="16"/>
      <c r="F9" s="4" t="s">
        <v>2</v>
      </c>
      <c r="G9">
        <f>575*0.75*0.26</f>
        <v>112.125</v>
      </c>
      <c r="H9" t="s">
        <v>30</v>
      </c>
      <c r="I9" s="1" t="s">
        <v>30</v>
      </c>
      <c r="J9" s="16"/>
      <c r="K9" s="4" t="s">
        <v>2</v>
      </c>
      <c r="L9">
        <v>0</v>
      </c>
      <c r="M9">
        <v>0</v>
      </c>
      <c r="N9" s="1">
        <v>0</v>
      </c>
      <c r="O9" s="16"/>
      <c r="P9" s="4" t="s">
        <v>2</v>
      </c>
      <c r="Q9" t="s">
        <v>23</v>
      </c>
      <c r="R9" t="s">
        <v>31</v>
      </c>
      <c r="S9" s="1" t="s">
        <v>31</v>
      </c>
      <c r="U9" s="25" t="s">
        <v>2</v>
      </c>
      <c r="V9" t="s">
        <v>23</v>
      </c>
      <c r="W9" t="s">
        <v>31</v>
      </c>
      <c r="X9" s="22" t="s">
        <v>31</v>
      </c>
      <c r="Y9" s="16"/>
      <c r="Z9" s="26" t="s">
        <v>2</v>
      </c>
      <c r="AA9" s="24" t="s">
        <v>23</v>
      </c>
      <c r="AB9" s="24" t="s">
        <v>31</v>
      </c>
      <c r="AC9" s="27" t="s">
        <v>31</v>
      </c>
      <c r="AD9" s="16"/>
      <c r="AE9" s="4" t="s">
        <v>2</v>
      </c>
      <c r="AF9" t="s">
        <v>23</v>
      </c>
      <c r="AG9" t="s">
        <v>31</v>
      </c>
      <c r="AH9" s="1" t="s">
        <v>31</v>
      </c>
      <c r="AI9" s="16"/>
      <c r="AJ9" s="4" t="s">
        <v>2</v>
      </c>
      <c r="AK9" t="s">
        <v>23</v>
      </c>
      <c r="AL9" t="s">
        <v>31</v>
      </c>
      <c r="AM9" s="1" t="s">
        <v>31</v>
      </c>
      <c r="AN9" s="16"/>
      <c r="AO9" s="4" t="s">
        <v>2</v>
      </c>
      <c r="AP9" t="s">
        <v>23</v>
      </c>
      <c r="AQ9" t="s">
        <v>34</v>
      </c>
      <c r="AR9" s="27" t="s">
        <v>34</v>
      </c>
      <c r="AS9" s="16"/>
      <c r="AT9" s="4" t="s">
        <v>2</v>
      </c>
      <c r="AU9" s="24" t="s">
        <v>23</v>
      </c>
      <c r="AV9" s="27" t="s">
        <v>34</v>
      </c>
      <c r="AW9" s="16"/>
      <c r="AX9" s="4" t="s">
        <v>2</v>
      </c>
      <c r="AY9" t="s">
        <v>23</v>
      </c>
      <c r="AZ9" s="24" t="s">
        <v>34</v>
      </c>
      <c r="BA9" s="27" t="s">
        <v>34</v>
      </c>
      <c r="BB9" s="16"/>
      <c r="BC9" s="4" t="s">
        <v>2</v>
      </c>
      <c r="BD9" t="s">
        <v>23</v>
      </c>
      <c r="BE9" s="24" t="s">
        <v>34</v>
      </c>
      <c r="BF9" s="27" t="s">
        <v>34</v>
      </c>
    </row>
    <row r="10" spans="1:58" x14ac:dyDescent="0.35">
      <c r="A10" s="4" t="s">
        <v>3</v>
      </c>
      <c r="B10">
        <f>463*0.67*0.09</f>
        <v>27.918900000000001</v>
      </c>
      <c r="C10" t="s">
        <v>33</v>
      </c>
      <c r="D10" s="1" t="s">
        <v>33</v>
      </c>
      <c r="E10" s="16"/>
      <c r="F10" s="28" t="s">
        <v>3</v>
      </c>
      <c r="G10">
        <f>575*0.75*0.09</f>
        <v>38.8125</v>
      </c>
      <c r="H10" s="24" t="s">
        <v>33</v>
      </c>
      <c r="I10" s="29" t="s">
        <v>34</v>
      </c>
      <c r="J10" s="16"/>
      <c r="K10" s="32" t="s">
        <v>3</v>
      </c>
      <c r="L10" t="s">
        <v>23</v>
      </c>
      <c r="M10" t="s">
        <v>31</v>
      </c>
      <c r="N10" s="29" t="s">
        <v>33</v>
      </c>
      <c r="O10" s="16"/>
      <c r="P10" s="4" t="s">
        <v>3</v>
      </c>
      <c r="Q10">
        <v>0</v>
      </c>
      <c r="R10">
        <v>0</v>
      </c>
      <c r="S10" s="1">
        <v>0</v>
      </c>
      <c r="U10" s="21" t="s">
        <v>3</v>
      </c>
      <c r="V10" t="s">
        <v>23</v>
      </c>
      <c r="W10" t="s">
        <v>31</v>
      </c>
      <c r="X10" s="22" t="s">
        <v>31</v>
      </c>
      <c r="Y10" s="16"/>
      <c r="Z10" s="4" t="s">
        <v>3</v>
      </c>
      <c r="AA10" t="s">
        <v>23</v>
      </c>
      <c r="AB10" s="24" t="s">
        <v>31</v>
      </c>
      <c r="AC10" s="1" t="s">
        <v>31</v>
      </c>
      <c r="AD10" s="16"/>
      <c r="AE10" s="4" t="s">
        <v>3</v>
      </c>
      <c r="AF10" t="s">
        <v>23</v>
      </c>
      <c r="AG10" t="s">
        <v>31</v>
      </c>
      <c r="AH10" s="1" t="s">
        <v>31</v>
      </c>
      <c r="AI10" s="16"/>
      <c r="AJ10" s="4" t="s">
        <v>3</v>
      </c>
      <c r="AK10" t="s">
        <v>23</v>
      </c>
      <c r="AL10" t="s">
        <v>31</v>
      </c>
      <c r="AM10" s="1" t="s">
        <v>31</v>
      </c>
      <c r="AN10" s="16"/>
      <c r="AO10" s="4" t="s">
        <v>3</v>
      </c>
      <c r="AP10" t="s">
        <v>23</v>
      </c>
      <c r="AQ10" t="s">
        <v>34</v>
      </c>
      <c r="AR10" s="27" t="s">
        <v>34</v>
      </c>
      <c r="AS10" s="16"/>
      <c r="AT10" s="4" t="s">
        <v>3</v>
      </c>
      <c r="AU10" t="s">
        <v>23</v>
      </c>
      <c r="AV10" s="27" t="s">
        <v>34</v>
      </c>
      <c r="AW10" s="16"/>
      <c r="AX10" s="4" t="s">
        <v>3</v>
      </c>
      <c r="AY10" t="s">
        <v>23</v>
      </c>
      <c r="AZ10" s="24" t="s">
        <v>34</v>
      </c>
      <c r="BA10" s="27" t="s">
        <v>34</v>
      </c>
      <c r="BB10" s="16"/>
      <c r="BC10" s="4" t="s">
        <v>3</v>
      </c>
      <c r="BD10" t="s">
        <v>23</v>
      </c>
      <c r="BE10" s="24" t="s">
        <v>34</v>
      </c>
      <c r="BF10" s="27" t="s">
        <v>34</v>
      </c>
    </row>
    <row r="11" spans="1:58" x14ac:dyDescent="0.35">
      <c r="A11" s="4" t="s">
        <v>4</v>
      </c>
      <c r="B11">
        <f>463*0.67*0.08</f>
        <v>24.816800000000004</v>
      </c>
      <c r="C11" t="s">
        <v>33</v>
      </c>
      <c r="D11" s="1" t="s">
        <v>33</v>
      </c>
      <c r="E11" s="16"/>
      <c r="F11" s="31" t="s">
        <v>4</v>
      </c>
      <c r="G11">
        <f>575*0.75*0.3</f>
        <v>129.375</v>
      </c>
      <c r="H11" s="24" t="s">
        <v>29</v>
      </c>
      <c r="I11" s="29" t="s">
        <v>30</v>
      </c>
      <c r="J11" s="16"/>
      <c r="K11" s="32" t="s">
        <v>4</v>
      </c>
      <c r="L11" t="s">
        <v>23</v>
      </c>
      <c r="M11" t="s">
        <v>31</v>
      </c>
      <c r="N11" s="29" t="s">
        <v>33</v>
      </c>
      <c r="O11" s="16"/>
      <c r="P11" s="32" t="s">
        <v>4</v>
      </c>
      <c r="Q11" t="s">
        <v>23</v>
      </c>
      <c r="R11" t="s">
        <v>31</v>
      </c>
      <c r="S11" s="29" t="s">
        <v>33</v>
      </c>
      <c r="U11" s="21" t="s">
        <v>4</v>
      </c>
      <c r="V11">
        <v>0</v>
      </c>
      <c r="W11" s="33">
        <v>0</v>
      </c>
      <c r="X11" s="34">
        <v>0</v>
      </c>
      <c r="Y11" s="16"/>
      <c r="Z11" s="4" t="s">
        <v>4</v>
      </c>
      <c r="AA11" t="s">
        <v>23</v>
      </c>
      <c r="AB11" s="24" t="s">
        <v>31</v>
      </c>
      <c r="AC11" s="1" t="s">
        <v>31</v>
      </c>
      <c r="AD11" s="16"/>
      <c r="AE11" s="4" t="s">
        <v>4</v>
      </c>
      <c r="AF11">
        <v>0</v>
      </c>
      <c r="AG11">
        <v>0</v>
      </c>
      <c r="AH11" s="1">
        <v>0</v>
      </c>
      <c r="AI11" s="16"/>
      <c r="AJ11" s="4" t="s">
        <v>4</v>
      </c>
      <c r="AK11">
        <v>0</v>
      </c>
      <c r="AL11">
        <v>0</v>
      </c>
      <c r="AM11" s="1">
        <v>0</v>
      </c>
      <c r="AN11" s="16"/>
      <c r="AO11" s="4" t="s">
        <v>4</v>
      </c>
      <c r="AP11" t="s">
        <v>23</v>
      </c>
      <c r="AQ11" s="24" t="s">
        <v>34</v>
      </c>
      <c r="AR11" s="27" t="s">
        <v>34</v>
      </c>
      <c r="AS11" s="16"/>
      <c r="AT11" s="4" t="s">
        <v>4</v>
      </c>
      <c r="AU11" t="s">
        <v>23</v>
      </c>
      <c r="AV11" s="27" t="s">
        <v>34</v>
      </c>
      <c r="AW11" s="16"/>
      <c r="AX11" s="4" t="s">
        <v>4</v>
      </c>
      <c r="AY11" t="s">
        <v>23</v>
      </c>
      <c r="AZ11" s="24" t="s">
        <v>34</v>
      </c>
      <c r="BA11" s="27" t="s">
        <v>34</v>
      </c>
      <c r="BB11" s="16"/>
      <c r="BC11" s="4" t="s">
        <v>4</v>
      </c>
      <c r="BD11" t="s">
        <v>23</v>
      </c>
      <c r="BE11" s="24" t="s">
        <v>34</v>
      </c>
      <c r="BF11" s="27" t="s">
        <v>34</v>
      </c>
    </row>
    <row r="12" spans="1:58" x14ac:dyDescent="0.35">
      <c r="A12" s="4" t="s">
        <v>5</v>
      </c>
      <c r="B12">
        <f>463*0.67*0.53</f>
        <v>164.41130000000004</v>
      </c>
      <c r="C12" t="s">
        <v>29</v>
      </c>
      <c r="D12" s="1" t="s">
        <v>29</v>
      </c>
      <c r="E12" s="16"/>
      <c r="F12" s="31" t="s">
        <v>5</v>
      </c>
      <c r="G12">
        <f>575*0.75*0.19</f>
        <v>81.9375</v>
      </c>
      <c r="H12" s="24" t="s">
        <v>31</v>
      </c>
      <c r="I12" s="29" t="s">
        <v>33</v>
      </c>
      <c r="J12" s="16"/>
      <c r="K12" s="32" t="s">
        <v>5</v>
      </c>
      <c r="L12" t="s">
        <v>23</v>
      </c>
      <c r="M12" t="s">
        <v>31</v>
      </c>
      <c r="N12" s="29" t="s">
        <v>33</v>
      </c>
      <c r="O12" s="16"/>
      <c r="P12" s="32" t="s">
        <v>5</v>
      </c>
      <c r="Q12" t="s">
        <v>23</v>
      </c>
      <c r="R12" t="s">
        <v>31</v>
      </c>
      <c r="S12" s="29" t="s">
        <v>33</v>
      </c>
      <c r="U12" s="35" t="s">
        <v>5</v>
      </c>
      <c r="V12" t="s">
        <v>23</v>
      </c>
      <c r="W12" t="s">
        <v>31</v>
      </c>
      <c r="X12" s="36" t="s">
        <v>33</v>
      </c>
      <c r="Y12" s="16"/>
      <c r="Z12" s="4" t="s">
        <v>5</v>
      </c>
      <c r="AA12">
        <v>0</v>
      </c>
      <c r="AB12" s="24">
        <v>0</v>
      </c>
      <c r="AC12" s="1">
        <v>0</v>
      </c>
      <c r="AD12" s="16"/>
      <c r="AE12" s="32" t="s">
        <v>5</v>
      </c>
      <c r="AF12" t="s">
        <v>23</v>
      </c>
      <c r="AG12" t="s">
        <v>31</v>
      </c>
      <c r="AH12" s="29" t="s">
        <v>33</v>
      </c>
      <c r="AI12" s="16"/>
      <c r="AJ12" s="4" t="s">
        <v>5</v>
      </c>
      <c r="AK12">
        <v>0</v>
      </c>
      <c r="AL12">
        <v>0</v>
      </c>
      <c r="AM12" s="1">
        <v>0</v>
      </c>
      <c r="AN12" s="16"/>
      <c r="AO12" s="4" t="s">
        <v>5</v>
      </c>
      <c r="AP12" t="s">
        <v>23</v>
      </c>
      <c r="AQ12" s="24" t="s">
        <v>34</v>
      </c>
      <c r="AR12" s="27" t="s">
        <v>34</v>
      </c>
      <c r="AS12" s="16"/>
      <c r="AT12" s="4" t="s">
        <v>5</v>
      </c>
      <c r="AU12" t="s">
        <v>23</v>
      </c>
      <c r="AV12" s="27" t="s">
        <v>34</v>
      </c>
      <c r="AW12" s="16"/>
      <c r="AX12" s="4" t="s">
        <v>5</v>
      </c>
      <c r="AY12" t="s">
        <v>23</v>
      </c>
      <c r="AZ12" s="24" t="s">
        <v>34</v>
      </c>
      <c r="BA12" s="27" t="s">
        <v>34</v>
      </c>
      <c r="BB12" s="16"/>
      <c r="BC12" s="4" t="s">
        <v>5</v>
      </c>
      <c r="BD12" t="s">
        <v>23</v>
      </c>
      <c r="BE12" s="24" t="s">
        <v>34</v>
      </c>
      <c r="BF12" s="27" t="s">
        <v>34</v>
      </c>
    </row>
    <row r="13" spans="1:58" x14ac:dyDescent="0.35">
      <c r="A13" s="4" t="s">
        <v>6</v>
      </c>
      <c r="B13">
        <f>463*0.67*0.09</f>
        <v>27.918900000000001</v>
      </c>
      <c r="C13" t="s">
        <v>33</v>
      </c>
      <c r="D13" s="37" t="s">
        <v>30</v>
      </c>
      <c r="E13" s="16"/>
      <c r="F13" s="4" t="s">
        <v>6</v>
      </c>
      <c r="G13">
        <f>575*0.75*0.08</f>
        <v>34.5</v>
      </c>
      <c r="H13">
        <v>0</v>
      </c>
      <c r="I13" s="1">
        <v>0</v>
      </c>
      <c r="J13" s="16"/>
      <c r="K13" s="4" t="s">
        <v>6</v>
      </c>
      <c r="L13">
        <v>0</v>
      </c>
      <c r="M13">
        <v>0</v>
      </c>
      <c r="N13" s="1">
        <v>0</v>
      </c>
      <c r="O13" s="16"/>
      <c r="P13" s="4" t="s">
        <v>6</v>
      </c>
      <c r="Q13">
        <v>0</v>
      </c>
      <c r="R13">
        <v>0</v>
      </c>
      <c r="S13" s="1">
        <v>0</v>
      </c>
      <c r="U13" s="21" t="s">
        <v>6</v>
      </c>
      <c r="V13">
        <v>0</v>
      </c>
      <c r="W13" s="38">
        <v>0</v>
      </c>
      <c r="X13" s="39">
        <v>0</v>
      </c>
      <c r="Y13" s="16"/>
      <c r="Z13" s="4" t="s">
        <v>6</v>
      </c>
      <c r="AA13" t="s">
        <v>23</v>
      </c>
      <c r="AB13" s="24" t="s">
        <v>31</v>
      </c>
      <c r="AC13" s="37" t="s">
        <v>29</v>
      </c>
      <c r="AD13" s="16"/>
      <c r="AE13" s="4" t="s">
        <v>6</v>
      </c>
      <c r="AF13">
        <v>0</v>
      </c>
      <c r="AG13">
        <v>0</v>
      </c>
      <c r="AH13" s="1">
        <v>0</v>
      </c>
      <c r="AI13" s="16"/>
      <c r="AJ13" s="4" t="s">
        <v>6</v>
      </c>
      <c r="AK13">
        <v>0</v>
      </c>
      <c r="AL13">
        <v>0</v>
      </c>
      <c r="AM13" s="1">
        <v>0</v>
      </c>
      <c r="AN13" s="16"/>
      <c r="AO13" s="4" t="s">
        <v>6</v>
      </c>
      <c r="AP13">
        <v>0</v>
      </c>
      <c r="AQ13" s="54">
        <v>0</v>
      </c>
      <c r="AR13" s="52">
        <v>0</v>
      </c>
      <c r="AS13" s="16"/>
      <c r="AT13" s="4" t="s">
        <v>6</v>
      </c>
      <c r="AU13">
        <v>0</v>
      </c>
      <c r="AV13" s="27">
        <v>0</v>
      </c>
      <c r="AW13" s="16"/>
      <c r="AX13" s="4" t="s">
        <v>6</v>
      </c>
      <c r="AY13">
        <v>0</v>
      </c>
      <c r="AZ13">
        <v>0</v>
      </c>
      <c r="BA13" s="1">
        <v>0</v>
      </c>
      <c r="BB13" s="16"/>
      <c r="BC13" s="4" t="s">
        <v>6</v>
      </c>
      <c r="BD13">
        <v>0</v>
      </c>
      <c r="BE13">
        <v>0</v>
      </c>
      <c r="BF13" s="1">
        <v>0</v>
      </c>
    </row>
    <row r="14" spans="1:58" x14ac:dyDescent="0.35">
      <c r="A14" s="4" t="s">
        <v>7</v>
      </c>
      <c r="B14">
        <f>463*0.23*0.02</f>
        <v>2.1298000000000004</v>
      </c>
      <c r="C14" t="s">
        <v>34</v>
      </c>
      <c r="D14" s="1" t="s">
        <v>34</v>
      </c>
      <c r="E14" s="16"/>
      <c r="F14" s="4" t="s">
        <v>7</v>
      </c>
      <c r="G14">
        <f>575*0.19*0.08</f>
        <v>8.74</v>
      </c>
      <c r="H14" t="s">
        <v>34</v>
      </c>
      <c r="I14" s="1" t="s">
        <v>34</v>
      </c>
      <c r="J14" s="16"/>
      <c r="K14" s="4" t="s">
        <v>7</v>
      </c>
      <c r="L14" t="s">
        <v>23</v>
      </c>
      <c r="M14" t="s">
        <v>28</v>
      </c>
      <c r="N14" s="1" t="s">
        <v>31</v>
      </c>
      <c r="O14" s="16"/>
      <c r="P14" s="32" t="s">
        <v>7</v>
      </c>
      <c r="Q14" t="s">
        <v>23</v>
      </c>
      <c r="R14" t="s">
        <v>31</v>
      </c>
      <c r="S14" s="29" t="s">
        <v>33</v>
      </c>
      <c r="U14" s="21" t="s">
        <v>7</v>
      </c>
      <c r="V14">
        <v>0</v>
      </c>
      <c r="W14" s="38">
        <v>0</v>
      </c>
      <c r="X14" s="39">
        <v>0</v>
      </c>
      <c r="Y14" s="16"/>
      <c r="Z14" s="30" t="s">
        <v>7</v>
      </c>
      <c r="AA14" t="s">
        <v>23</v>
      </c>
      <c r="AB14" s="24" t="s">
        <v>31</v>
      </c>
      <c r="AC14" s="1" t="s">
        <v>31</v>
      </c>
      <c r="AD14" s="16"/>
      <c r="AE14" s="4" t="s">
        <v>7</v>
      </c>
      <c r="AF14" t="s">
        <v>23</v>
      </c>
      <c r="AG14" t="s">
        <v>31</v>
      </c>
      <c r="AH14" s="1" t="s">
        <v>31</v>
      </c>
      <c r="AI14" s="16"/>
      <c r="AJ14" s="4" t="s">
        <v>7</v>
      </c>
      <c r="AK14">
        <v>0</v>
      </c>
      <c r="AL14">
        <v>0</v>
      </c>
      <c r="AM14" s="1">
        <v>0</v>
      </c>
      <c r="AN14" s="16"/>
      <c r="AO14" s="4" t="s">
        <v>7</v>
      </c>
      <c r="AP14" t="s">
        <v>23</v>
      </c>
      <c r="AQ14" s="24" t="s">
        <v>34</v>
      </c>
      <c r="AR14" s="27" t="s">
        <v>34</v>
      </c>
      <c r="AS14" s="16"/>
      <c r="AT14" s="4" t="s">
        <v>7</v>
      </c>
      <c r="AU14" t="s">
        <v>23</v>
      </c>
      <c r="AV14" s="27" t="s">
        <v>34</v>
      </c>
      <c r="AW14" s="16"/>
      <c r="AX14" s="4" t="s">
        <v>7</v>
      </c>
      <c r="AY14" t="s">
        <v>23</v>
      </c>
      <c r="AZ14" s="24" t="s">
        <v>34</v>
      </c>
      <c r="BA14" s="27" t="s">
        <v>34</v>
      </c>
      <c r="BB14" s="16"/>
      <c r="BC14" s="4" t="s">
        <v>7</v>
      </c>
      <c r="BD14" t="s">
        <v>23</v>
      </c>
      <c r="BE14" s="24" t="s">
        <v>34</v>
      </c>
      <c r="BF14" s="27" t="s">
        <v>34</v>
      </c>
    </row>
    <row r="15" spans="1:58" x14ac:dyDescent="0.35">
      <c r="A15" s="4" t="s">
        <v>8</v>
      </c>
      <c r="B15">
        <f>689*0.24</f>
        <v>165.35999999999999</v>
      </c>
      <c r="C15" t="s">
        <v>29</v>
      </c>
      <c r="D15" s="37" t="s">
        <v>119</v>
      </c>
      <c r="E15" s="16"/>
      <c r="F15" s="4" t="s">
        <v>8</v>
      </c>
      <c r="G15">
        <v>0</v>
      </c>
      <c r="H15">
        <v>0</v>
      </c>
      <c r="I15" s="1">
        <v>0</v>
      </c>
      <c r="J15" s="16"/>
      <c r="K15" s="4" t="s">
        <v>8</v>
      </c>
      <c r="L15">
        <v>0</v>
      </c>
      <c r="M15">
        <v>0</v>
      </c>
      <c r="N15" s="1">
        <v>0</v>
      </c>
      <c r="O15" s="16"/>
      <c r="P15" s="4" t="s">
        <v>8</v>
      </c>
      <c r="Q15">
        <v>0</v>
      </c>
      <c r="R15">
        <v>0</v>
      </c>
      <c r="S15" s="1">
        <v>0</v>
      </c>
      <c r="U15" s="21" t="s">
        <v>8</v>
      </c>
      <c r="V15">
        <v>0</v>
      </c>
      <c r="W15" s="38">
        <v>0</v>
      </c>
      <c r="X15" s="39">
        <v>0</v>
      </c>
      <c r="Y15" s="16"/>
      <c r="Z15" s="4" t="s">
        <v>8</v>
      </c>
      <c r="AA15">
        <v>0</v>
      </c>
      <c r="AB15" s="24">
        <v>0</v>
      </c>
      <c r="AC15" s="1">
        <v>0</v>
      </c>
      <c r="AD15" s="16"/>
      <c r="AE15" s="4" t="s">
        <v>8</v>
      </c>
      <c r="AF15">
        <v>0</v>
      </c>
      <c r="AG15">
        <v>0</v>
      </c>
      <c r="AH15" s="1">
        <v>0</v>
      </c>
      <c r="AI15" s="16"/>
      <c r="AJ15" s="4" t="s">
        <v>8</v>
      </c>
      <c r="AK15">
        <v>0</v>
      </c>
      <c r="AL15">
        <v>0</v>
      </c>
      <c r="AM15" s="1">
        <v>0</v>
      </c>
      <c r="AN15" s="16"/>
      <c r="AO15" s="4" t="s">
        <v>8</v>
      </c>
      <c r="AP15">
        <v>0</v>
      </c>
      <c r="AQ15" s="54">
        <v>0</v>
      </c>
      <c r="AR15" s="52">
        <v>0</v>
      </c>
      <c r="AS15" s="16"/>
      <c r="AT15" s="4" t="s">
        <v>8</v>
      </c>
      <c r="AU15">
        <v>0</v>
      </c>
      <c r="AV15" s="27">
        <v>0</v>
      </c>
      <c r="AW15" s="16"/>
      <c r="AX15" s="4" t="s">
        <v>8</v>
      </c>
      <c r="AY15">
        <v>0</v>
      </c>
      <c r="AZ15">
        <v>0</v>
      </c>
      <c r="BA15" s="1">
        <v>0</v>
      </c>
      <c r="BB15" s="16"/>
      <c r="BC15" s="4" t="s">
        <v>8</v>
      </c>
      <c r="BD15">
        <v>0</v>
      </c>
      <c r="BE15">
        <v>0</v>
      </c>
      <c r="BF15" s="1">
        <v>0</v>
      </c>
    </row>
    <row r="16" spans="1:58" x14ac:dyDescent="0.35">
      <c r="A16" s="4" t="s">
        <v>9</v>
      </c>
      <c r="B16">
        <f>689*0.15</f>
        <v>103.35</v>
      </c>
      <c r="C16" t="s">
        <v>30</v>
      </c>
      <c r="D16" s="1" t="s">
        <v>30</v>
      </c>
      <c r="E16" s="16"/>
      <c r="F16" s="4" t="s">
        <v>9</v>
      </c>
      <c r="G16" t="s">
        <v>23</v>
      </c>
      <c r="H16" t="s">
        <v>34</v>
      </c>
      <c r="I16" s="1" t="s">
        <v>34</v>
      </c>
      <c r="J16" s="16"/>
      <c r="K16" s="4" t="s">
        <v>9</v>
      </c>
      <c r="L16" t="s">
        <v>23</v>
      </c>
      <c r="M16" t="s">
        <v>34</v>
      </c>
      <c r="N16" s="1" t="s">
        <v>34</v>
      </c>
      <c r="O16" s="16"/>
      <c r="P16" s="4" t="s">
        <v>9</v>
      </c>
      <c r="Q16" t="s">
        <v>23</v>
      </c>
      <c r="R16" t="s">
        <v>34</v>
      </c>
      <c r="S16" s="1" t="s">
        <v>34</v>
      </c>
      <c r="U16" s="21" t="s">
        <v>9</v>
      </c>
      <c r="V16" t="s">
        <v>23</v>
      </c>
      <c r="W16" t="s">
        <v>34</v>
      </c>
      <c r="X16" s="1" t="s">
        <v>34</v>
      </c>
      <c r="Y16" s="16"/>
      <c r="Z16" s="4" t="s">
        <v>9</v>
      </c>
      <c r="AA16" t="s">
        <v>23</v>
      </c>
      <c r="AB16" t="s">
        <v>34</v>
      </c>
      <c r="AC16" s="1" t="s">
        <v>34</v>
      </c>
      <c r="AD16" s="16"/>
      <c r="AE16" s="4" t="s">
        <v>9</v>
      </c>
      <c r="AF16" t="s">
        <v>23</v>
      </c>
      <c r="AG16" t="s">
        <v>34</v>
      </c>
      <c r="AH16" s="1" t="s">
        <v>34</v>
      </c>
      <c r="AI16" s="16"/>
      <c r="AJ16" s="4" t="s">
        <v>9</v>
      </c>
      <c r="AK16" t="s">
        <v>23</v>
      </c>
      <c r="AL16" t="s">
        <v>34</v>
      </c>
      <c r="AM16" s="1" t="s">
        <v>34</v>
      </c>
      <c r="AN16" s="16"/>
      <c r="AO16" s="40" t="s">
        <v>9</v>
      </c>
      <c r="AP16">
        <f>326*0.15</f>
        <v>48.9</v>
      </c>
      <c r="AQ16" s="24" t="s">
        <v>31</v>
      </c>
      <c r="AR16" s="53" t="s">
        <v>33</v>
      </c>
      <c r="AS16" s="16"/>
      <c r="AT16" s="4" t="s">
        <v>9</v>
      </c>
      <c r="AU16">
        <v>0</v>
      </c>
      <c r="AV16" s="27">
        <v>0</v>
      </c>
      <c r="AW16" s="16"/>
      <c r="AX16" s="40" t="s">
        <v>9</v>
      </c>
      <c r="AY16">
        <f>326*0.15</f>
        <v>48.9</v>
      </c>
      <c r="AZ16" t="s">
        <v>30</v>
      </c>
      <c r="BA16" s="29" t="s">
        <v>31</v>
      </c>
      <c r="BB16" s="16"/>
      <c r="BC16" s="40" t="s">
        <v>9</v>
      </c>
      <c r="BD16">
        <f>326*0.15</f>
        <v>48.9</v>
      </c>
      <c r="BE16" t="s">
        <v>30</v>
      </c>
      <c r="BF16" s="29" t="s">
        <v>31</v>
      </c>
    </row>
    <row r="17" spans="1:82" x14ac:dyDescent="0.35">
      <c r="A17" s="4" t="s">
        <v>10</v>
      </c>
      <c r="B17">
        <f>689*0.16</f>
        <v>110.24000000000001</v>
      </c>
      <c r="C17" t="s">
        <v>30</v>
      </c>
      <c r="D17" s="1" t="s">
        <v>30</v>
      </c>
      <c r="E17" s="16"/>
      <c r="F17" s="4" t="s">
        <v>10</v>
      </c>
      <c r="G17" t="s">
        <v>23</v>
      </c>
      <c r="H17" t="s">
        <v>34</v>
      </c>
      <c r="I17" s="1" t="s">
        <v>34</v>
      </c>
      <c r="J17" s="16"/>
      <c r="K17" s="4" t="s">
        <v>10</v>
      </c>
      <c r="L17" t="s">
        <v>23</v>
      </c>
      <c r="M17" t="s">
        <v>34</v>
      </c>
      <c r="N17" s="1" t="s">
        <v>34</v>
      </c>
      <c r="O17" s="16"/>
      <c r="P17" s="4" t="s">
        <v>10</v>
      </c>
      <c r="Q17" t="s">
        <v>23</v>
      </c>
      <c r="R17" t="s">
        <v>34</v>
      </c>
      <c r="S17" s="1" t="s">
        <v>34</v>
      </c>
      <c r="U17" s="21" t="s">
        <v>10</v>
      </c>
      <c r="V17" t="s">
        <v>23</v>
      </c>
      <c r="W17" t="s">
        <v>34</v>
      </c>
      <c r="X17" s="1" t="s">
        <v>34</v>
      </c>
      <c r="Y17" s="16"/>
      <c r="Z17" s="4" t="s">
        <v>10</v>
      </c>
      <c r="AA17" t="s">
        <v>23</v>
      </c>
      <c r="AB17" t="s">
        <v>34</v>
      </c>
      <c r="AC17" s="1" t="s">
        <v>34</v>
      </c>
      <c r="AD17" s="16"/>
      <c r="AE17" s="4" t="s">
        <v>10</v>
      </c>
      <c r="AF17" t="s">
        <v>23</v>
      </c>
      <c r="AG17" t="s">
        <v>34</v>
      </c>
      <c r="AH17" s="1" t="s">
        <v>34</v>
      </c>
      <c r="AI17" s="16"/>
      <c r="AJ17" s="4" t="s">
        <v>10</v>
      </c>
      <c r="AK17" t="s">
        <v>23</v>
      </c>
      <c r="AL17" t="s">
        <v>34</v>
      </c>
      <c r="AM17" s="1" t="s">
        <v>34</v>
      </c>
      <c r="AN17" s="16"/>
      <c r="AO17" s="4" t="s">
        <v>10</v>
      </c>
      <c r="AP17">
        <f>326*0.18</f>
        <v>58.68</v>
      </c>
      <c r="AQ17" s="55" t="s">
        <v>30</v>
      </c>
      <c r="AR17" s="51" t="s">
        <v>30</v>
      </c>
      <c r="AS17" s="16"/>
      <c r="AT17" s="4" t="s">
        <v>10</v>
      </c>
      <c r="AU17">
        <f>326*0.18</f>
        <v>58.68</v>
      </c>
      <c r="AV17" s="27" t="s">
        <v>30</v>
      </c>
      <c r="AW17" s="16"/>
      <c r="AX17" s="4" t="s">
        <v>10</v>
      </c>
      <c r="AY17">
        <v>0</v>
      </c>
      <c r="AZ17">
        <v>0</v>
      </c>
      <c r="BA17" s="1">
        <v>0</v>
      </c>
      <c r="BB17" s="16"/>
      <c r="BC17" s="4" t="s">
        <v>10</v>
      </c>
      <c r="BD17">
        <f>236*0.18</f>
        <v>42.48</v>
      </c>
      <c r="BE17" t="s">
        <v>30</v>
      </c>
      <c r="BF17" s="1" t="s">
        <v>30</v>
      </c>
    </row>
    <row r="18" spans="1:82" x14ac:dyDescent="0.35">
      <c r="A18" s="4" t="s">
        <v>11</v>
      </c>
      <c r="B18">
        <f>689*0.07</f>
        <v>48.230000000000004</v>
      </c>
      <c r="C18" t="s">
        <v>31</v>
      </c>
      <c r="D18" s="1" t="s">
        <v>31</v>
      </c>
      <c r="E18" s="16"/>
      <c r="F18" s="4" t="s">
        <v>11</v>
      </c>
      <c r="G18" t="s">
        <v>23</v>
      </c>
      <c r="H18" t="s">
        <v>34</v>
      </c>
      <c r="I18" s="1" t="s">
        <v>34</v>
      </c>
      <c r="J18" s="16"/>
      <c r="K18" s="4" t="s">
        <v>11</v>
      </c>
      <c r="L18" s="41" t="s">
        <v>23</v>
      </c>
      <c r="M18" s="24" t="s">
        <v>34</v>
      </c>
      <c r="N18" s="27" t="s">
        <v>34</v>
      </c>
      <c r="O18" s="16"/>
      <c r="P18" s="4" t="s">
        <v>11</v>
      </c>
      <c r="Q18" t="s">
        <v>23</v>
      </c>
      <c r="R18" s="24" t="s">
        <v>34</v>
      </c>
      <c r="S18" s="27" t="s">
        <v>34</v>
      </c>
      <c r="U18" s="21" t="s">
        <v>11</v>
      </c>
      <c r="V18" t="s">
        <v>23</v>
      </c>
      <c r="W18" s="24" t="s">
        <v>34</v>
      </c>
      <c r="X18" s="27" t="s">
        <v>34</v>
      </c>
      <c r="Y18" s="16"/>
      <c r="Z18" s="4" t="s">
        <v>11</v>
      </c>
      <c r="AA18" t="s">
        <v>23</v>
      </c>
      <c r="AB18" s="24" t="s">
        <v>34</v>
      </c>
      <c r="AC18" s="27" t="s">
        <v>34</v>
      </c>
      <c r="AD18" s="16"/>
      <c r="AE18" s="4" t="s">
        <v>11</v>
      </c>
      <c r="AF18" t="s">
        <v>23</v>
      </c>
      <c r="AG18" s="24" t="s">
        <v>34</v>
      </c>
      <c r="AH18" s="27" t="s">
        <v>34</v>
      </c>
      <c r="AI18" s="16"/>
      <c r="AJ18" s="4" t="s">
        <v>11</v>
      </c>
      <c r="AK18" t="s">
        <v>23</v>
      </c>
      <c r="AL18" s="24" t="s">
        <v>34</v>
      </c>
      <c r="AM18" s="27" t="s">
        <v>34</v>
      </c>
      <c r="AN18" s="16"/>
      <c r="AO18" s="40" t="s">
        <v>11</v>
      </c>
      <c r="AP18">
        <f>326*0.1</f>
        <v>32.6</v>
      </c>
      <c r="AQ18" t="s">
        <v>31</v>
      </c>
      <c r="AR18" s="53" t="s">
        <v>33</v>
      </c>
      <c r="AS18" s="16"/>
      <c r="AT18" s="4" t="s">
        <v>11</v>
      </c>
      <c r="AU18">
        <f>326*0.1</f>
        <v>32.6</v>
      </c>
      <c r="AV18" s="1" t="s">
        <v>31</v>
      </c>
      <c r="AW18" s="16"/>
      <c r="AX18" s="40" t="s">
        <v>11</v>
      </c>
      <c r="AY18">
        <f>326*0.1</f>
        <v>32.6</v>
      </c>
      <c r="AZ18" t="s">
        <v>31</v>
      </c>
      <c r="BA18" s="29" t="s">
        <v>33</v>
      </c>
      <c r="BB18" s="16"/>
      <c r="BC18" s="4" t="s">
        <v>11</v>
      </c>
      <c r="BD18">
        <v>0</v>
      </c>
      <c r="BE18">
        <v>0</v>
      </c>
      <c r="BF18" s="1">
        <v>0</v>
      </c>
    </row>
    <row r="20" spans="1:82" x14ac:dyDescent="0.35">
      <c r="A20" s="43" t="s">
        <v>99</v>
      </c>
    </row>
    <row r="21" spans="1:82" x14ac:dyDescent="0.35">
      <c r="A21" s="24" t="s">
        <v>97</v>
      </c>
      <c r="B21" s="24"/>
      <c r="C21" s="24"/>
      <c r="Q21" t="s">
        <v>100</v>
      </c>
    </row>
    <row r="22" spans="1:82" x14ac:dyDescent="0.35">
      <c r="Q22" s="3" t="s">
        <v>12</v>
      </c>
      <c r="R22" s="3"/>
      <c r="S22" s="3"/>
    </row>
    <row r="23" spans="1:82" x14ac:dyDescent="0.35">
      <c r="A23" s="1" t="s">
        <v>35</v>
      </c>
      <c r="Q23" s="5" t="s">
        <v>13</v>
      </c>
      <c r="R23" s="5"/>
      <c r="S23" s="5"/>
    </row>
    <row r="24" spans="1:82" x14ac:dyDescent="0.35">
      <c r="A24" t="s">
        <v>36</v>
      </c>
      <c r="E24" t="s">
        <v>37</v>
      </c>
      <c r="J24" t="s">
        <v>38</v>
      </c>
      <c r="Q24" s="6" t="s">
        <v>14</v>
      </c>
      <c r="R24" s="6"/>
      <c r="S24" s="6"/>
      <c r="Y24" s="14"/>
      <c r="Z24" s="44"/>
      <c r="AD24" s="2"/>
      <c r="AE24" s="44"/>
      <c r="AI24" s="14"/>
      <c r="AJ24" s="44"/>
      <c r="AN24" s="2"/>
      <c r="AO24" s="44"/>
      <c r="AS24" s="2"/>
      <c r="AT24" s="44"/>
      <c r="AX24" s="2"/>
      <c r="AY24" s="44"/>
      <c r="BC24" s="2"/>
      <c r="BD24" s="44"/>
      <c r="BH24" s="2"/>
      <c r="BI24" s="44"/>
      <c r="BM24" s="2"/>
      <c r="BN24" s="44"/>
      <c r="BR24" s="2"/>
      <c r="BS24" s="59"/>
      <c r="BV24" s="2"/>
      <c r="BW24" s="44"/>
      <c r="CA24" s="2"/>
      <c r="CB24" s="44"/>
    </row>
    <row r="25" spans="1:82" x14ac:dyDescent="0.35">
      <c r="A25" t="s">
        <v>39</v>
      </c>
      <c r="C25" s="42">
        <v>0.56999999999999995</v>
      </c>
      <c r="E25" t="s">
        <v>39</v>
      </c>
      <c r="G25" s="42">
        <v>0.16</v>
      </c>
      <c r="J25" t="s">
        <v>40</v>
      </c>
      <c r="L25" s="42">
        <v>0.18</v>
      </c>
      <c r="Q25" s="7" t="s">
        <v>15</v>
      </c>
      <c r="R25" s="7"/>
      <c r="S25" s="8"/>
      <c r="Z25" s="44"/>
      <c r="AB25" s="1"/>
      <c r="AE25" s="44"/>
      <c r="AG25" s="1"/>
      <c r="AI25" s="15"/>
      <c r="AJ25" s="44"/>
      <c r="AL25" s="1"/>
      <c r="AO25" s="44"/>
      <c r="AQ25" s="1"/>
      <c r="AT25" s="44"/>
      <c r="AV25" s="1"/>
      <c r="AY25" s="44"/>
      <c r="BA25" s="1"/>
      <c r="BD25" s="44"/>
      <c r="BF25" s="1"/>
      <c r="BI25" s="44"/>
      <c r="BK25" s="1"/>
      <c r="BN25" s="44"/>
      <c r="BP25" s="1"/>
      <c r="BS25" s="59"/>
      <c r="BW25" s="44"/>
      <c r="BY25" s="1"/>
      <c r="CB25" s="44"/>
      <c r="CD25" s="1"/>
    </row>
    <row r="26" spans="1:82" x14ac:dyDescent="0.35">
      <c r="A26" t="s">
        <v>41</v>
      </c>
      <c r="C26" s="42">
        <v>0.19</v>
      </c>
      <c r="E26" t="s">
        <v>41</v>
      </c>
      <c r="G26" s="42">
        <v>0.24</v>
      </c>
      <c r="J26" t="s">
        <v>42</v>
      </c>
      <c r="L26" s="42">
        <v>0.16</v>
      </c>
      <c r="Q26" s="9" t="s">
        <v>16</v>
      </c>
      <c r="R26" s="9"/>
      <c r="S26" s="9"/>
      <c r="Y26" s="4"/>
      <c r="AB26" s="1"/>
      <c r="AD26" s="4"/>
      <c r="AG26" s="1"/>
      <c r="AH26" s="20"/>
      <c r="AI26" s="4"/>
      <c r="AL26" s="1"/>
      <c r="AM26" s="20"/>
      <c r="AN26" s="4"/>
      <c r="AQ26" s="1"/>
      <c r="AR26" s="20"/>
      <c r="AS26" s="4"/>
      <c r="AV26" s="22"/>
      <c r="AW26" s="20"/>
      <c r="AX26" s="4"/>
      <c r="BA26" s="1"/>
      <c r="BB26" s="20"/>
      <c r="BC26" s="4"/>
      <c r="BF26" s="1"/>
      <c r="BG26" s="20"/>
      <c r="BH26" s="4"/>
      <c r="BK26" s="1"/>
      <c r="BM26" s="4"/>
      <c r="BO26" s="23"/>
      <c r="BP26" s="22"/>
      <c r="BQ26" s="20"/>
      <c r="BR26" s="4"/>
      <c r="BS26" s="44"/>
      <c r="BT26" s="1"/>
      <c r="BU26" s="20"/>
      <c r="BV26" s="4"/>
      <c r="BY26" s="1"/>
      <c r="BZ26" s="20"/>
      <c r="CA26" s="4"/>
      <c r="CD26" s="1"/>
    </row>
    <row r="27" spans="1:82" x14ac:dyDescent="0.35">
      <c r="A27" t="s">
        <v>43</v>
      </c>
      <c r="C27" s="42">
        <v>0.1</v>
      </c>
      <c r="E27" t="s">
        <v>43</v>
      </c>
      <c r="G27" s="42">
        <v>0.22</v>
      </c>
      <c r="J27" t="s">
        <v>44</v>
      </c>
      <c r="L27" s="42">
        <v>0.15</v>
      </c>
      <c r="Q27" s="10" t="s">
        <v>17</v>
      </c>
      <c r="R27" s="10"/>
      <c r="S27" s="10"/>
      <c r="Y27" s="4"/>
      <c r="AB27" s="1"/>
      <c r="AD27" s="4"/>
      <c r="AG27" s="1"/>
      <c r="AI27" s="4"/>
      <c r="AL27" s="1"/>
      <c r="AN27" s="4"/>
      <c r="AQ27" s="1"/>
      <c r="AS27" s="4"/>
      <c r="AV27" s="22"/>
      <c r="AX27" s="4"/>
      <c r="AZ27" s="24"/>
      <c r="BA27" s="1"/>
      <c r="BC27" s="4"/>
      <c r="BF27" s="1"/>
      <c r="BH27" s="4"/>
      <c r="BK27" s="1"/>
      <c r="BM27" s="4"/>
      <c r="BO27" s="23"/>
      <c r="BP27" s="51"/>
      <c r="BR27" s="4"/>
      <c r="BT27" s="1"/>
      <c r="BV27" s="4"/>
      <c r="BY27" s="1"/>
      <c r="CA27" s="4"/>
      <c r="CD27" s="1"/>
    </row>
    <row r="28" spans="1:82" x14ac:dyDescent="0.35">
      <c r="B28" t="s">
        <v>45</v>
      </c>
      <c r="F28" t="s">
        <v>46</v>
      </c>
      <c r="J28" t="s">
        <v>47</v>
      </c>
      <c r="L28" t="s">
        <v>48</v>
      </c>
      <c r="M28" s="42">
        <v>0.1</v>
      </c>
      <c r="Y28" s="4"/>
      <c r="AB28" s="1"/>
      <c r="AD28" s="4"/>
      <c r="AG28" s="1"/>
      <c r="AI28" s="4"/>
      <c r="AL28" s="1"/>
      <c r="AN28" s="4"/>
      <c r="AQ28" s="1"/>
      <c r="AS28" s="4"/>
      <c r="AV28" s="22"/>
      <c r="AX28" s="4"/>
      <c r="AY28" s="24"/>
      <c r="AZ28" s="24"/>
      <c r="BA28" s="27"/>
      <c r="BC28" s="4"/>
      <c r="BF28" s="1"/>
      <c r="BH28" s="4"/>
      <c r="BK28" s="1"/>
      <c r="BM28" s="4"/>
      <c r="BP28" s="27"/>
      <c r="BR28" s="4"/>
      <c r="BS28" s="24"/>
      <c r="BT28" s="27"/>
      <c r="BV28" s="4"/>
      <c r="BX28" s="24"/>
      <c r="BY28" s="27"/>
      <c r="CA28" s="4"/>
      <c r="CC28" s="24"/>
      <c r="CD28" s="27"/>
    </row>
    <row r="29" spans="1:82" x14ac:dyDescent="0.35">
      <c r="A29" t="s">
        <v>49</v>
      </c>
      <c r="E29" t="s">
        <v>50</v>
      </c>
      <c r="J29" t="s">
        <v>51</v>
      </c>
      <c r="Q29" s="12" t="s">
        <v>20</v>
      </c>
      <c r="R29" s="12"/>
      <c r="S29" s="12"/>
      <c r="T29" s="12"/>
      <c r="Y29" s="4"/>
      <c r="AB29" s="1"/>
      <c r="AD29" s="4"/>
      <c r="AF29" s="24"/>
      <c r="AG29" s="1"/>
      <c r="AI29" s="4"/>
      <c r="AL29" s="1"/>
      <c r="AN29" s="4"/>
      <c r="AQ29" s="1"/>
      <c r="AS29" s="4"/>
      <c r="AV29" s="22"/>
      <c r="AX29" s="4"/>
      <c r="AZ29" s="24"/>
      <c r="BA29" s="1"/>
      <c r="BC29" s="4"/>
      <c r="BF29" s="1"/>
      <c r="BH29" s="4"/>
      <c r="BK29" s="1"/>
      <c r="BM29" s="4"/>
      <c r="BP29" s="27"/>
      <c r="BR29" s="4"/>
      <c r="BT29" s="27"/>
      <c r="BV29" s="4"/>
      <c r="BX29" s="24"/>
      <c r="BY29" s="27"/>
      <c r="CA29" s="4"/>
      <c r="CC29" s="24"/>
      <c r="CD29" s="27"/>
    </row>
    <row r="30" spans="1:82" x14ac:dyDescent="0.35">
      <c r="A30" t="s">
        <v>52</v>
      </c>
      <c r="E30" t="s">
        <v>53</v>
      </c>
      <c r="J30" t="s">
        <v>54</v>
      </c>
      <c r="Q30" s="13" t="s">
        <v>22</v>
      </c>
      <c r="R30" s="13"/>
      <c r="S30" s="13"/>
      <c r="T30" s="13"/>
      <c r="Y30" s="4"/>
      <c r="AB30" s="1"/>
      <c r="AD30" s="4"/>
      <c r="AF30" s="24"/>
      <c r="AG30" s="1"/>
      <c r="AI30" s="4"/>
      <c r="AL30" s="1"/>
      <c r="AN30" s="4"/>
      <c r="AQ30" s="1"/>
      <c r="AS30" s="4"/>
      <c r="AU30" s="33"/>
      <c r="AV30" s="34"/>
      <c r="AX30" s="4"/>
      <c r="AZ30" s="24"/>
      <c r="BA30" s="1"/>
      <c r="BC30" s="4"/>
      <c r="BF30" s="1"/>
      <c r="BH30" s="4"/>
      <c r="BK30" s="1"/>
      <c r="BM30" s="4"/>
      <c r="BO30" s="24"/>
      <c r="BP30" s="27"/>
      <c r="BR30" s="4"/>
      <c r="BT30" s="27"/>
      <c r="BV30" s="4"/>
      <c r="BX30" s="24"/>
      <c r="BY30" s="27"/>
      <c r="CA30" s="4"/>
      <c r="CC30" s="24"/>
      <c r="CD30" s="27"/>
    </row>
    <row r="31" spans="1:82" x14ac:dyDescent="0.35">
      <c r="Y31" s="4"/>
      <c r="AB31" s="1"/>
      <c r="AD31" s="4"/>
      <c r="AF31" s="24"/>
      <c r="AG31" s="1"/>
      <c r="AI31" s="4"/>
      <c r="AL31" s="1"/>
      <c r="AN31" s="4"/>
      <c r="AQ31" s="1"/>
      <c r="AS31" s="4"/>
      <c r="AV31" s="22"/>
      <c r="AX31" s="4"/>
      <c r="AZ31" s="24"/>
      <c r="BA31" s="1"/>
      <c r="BC31" s="4"/>
      <c r="BF31" s="1"/>
      <c r="BH31" s="4"/>
      <c r="BK31" s="1"/>
      <c r="BM31" s="4"/>
      <c r="BO31" s="24"/>
      <c r="BP31" s="27"/>
      <c r="BR31" s="4"/>
      <c r="BT31" s="27"/>
      <c r="BV31" s="4"/>
      <c r="BX31" s="24"/>
      <c r="BY31" s="27"/>
      <c r="CA31" s="4"/>
      <c r="CC31" s="24"/>
      <c r="CD31" s="27"/>
    </row>
    <row r="32" spans="1:82" x14ac:dyDescent="0.35">
      <c r="A32" s="1" t="s">
        <v>55</v>
      </c>
      <c r="Y32" s="4"/>
      <c r="AB32" s="1"/>
      <c r="AD32" s="4"/>
      <c r="AG32" s="1"/>
      <c r="AI32" s="4"/>
      <c r="AL32" s="1"/>
      <c r="AN32" s="4"/>
      <c r="AQ32" s="1"/>
      <c r="AS32" s="4"/>
      <c r="AU32" s="38"/>
      <c r="AV32" s="39"/>
      <c r="AX32" s="4"/>
      <c r="AZ32" s="24"/>
      <c r="BA32" s="1"/>
      <c r="BC32" s="4"/>
      <c r="BF32" s="1"/>
      <c r="BH32" s="4"/>
      <c r="BK32" s="1"/>
      <c r="BM32" s="4"/>
      <c r="BO32" s="54"/>
      <c r="BP32" s="52"/>
      <c r="BR32" s="4"/>
      <c r="BT32" s="27"/>
      <c r="BV32" s="4"/>
      <c r="BY32" s="1"/>
      <c r="CA32" s="4"/>
      <c r="CD32" s="1"/>
    </row>
    <row r="33" spans="1:82" x14ac:dyDescent="0.35">
      <c r="A33" t="s">
        <v>56</v>
      </c>
      <c r="Y33" s="4"/>
      <c r="AB33" s="1"/>
      <c r="AD33" s="4"/>
      <c r="AG33" s="1"/>
      <c r="AI33" s="4"/>
      <c r="AL33" s="1"/>
      <c r="AN33" s="4"/>
      <c r="AQ33" s="1"/>
      <c r="AS33" s="4"/>
      <c r="AU33" s="38"/>
      <c r="AV33" s="39"/>
      <c r="AX33" s="4"/>
      <c r="AZ33" s="24"/>
      <c r="BA33" s="1"/>
      <c r="BC33" s="4"/>
      <c r="BF33" s="1"/>
      <c r="BH33" s="4"/>
      <c r="BK33" s="1"/>
      <c r="BM33" s="4"/>
      <c r="BO33" s="24"/>
      <c r="BP33" s="27"/>
      <c r="BR33" s="4"/>
      <c r="BT33" s="27"/>
      <c r="BV33" s="4"/>
      <c r="BX33" s="24"/>
      <c r="BY33" s="27"/>
      <c r="CA33" s="4"/>
      <c r="CC33" s="24"/>
      <c r="CD33" s="27"/>
    </row>
    <row r="34" spans="1:82" x14ac:dyDescent="0.35">
      <c r="A34" t="s">
        <v>57</v>
      </c>
      <c r="B34" s="42">
        <v>0.23</v>
      </c>
      <c r="Y34" s="4"/>
      <c r="AB34" s="1"/>
      <c r="AD34" s="4"/>
      <c r="AG34" s="1"/>
      <c r="AI34" s="4"/>
      <c r="AL34" s="1"/>
      <c r="AN34" s="4"/>
      <c r="AQ34" s="1"/>
      <c r="AS34" s="4"/>
      <c r="AU34" s="38"/>
      <c r="AV34" s="39"/>
      <c r="AX34" s="4"/>
      <c r="AZ34" s="24"/>
      <c r="BA34" s="1"/>
      <c r="BC34" s="4"/>
      <c r="BF34" s="1"/>
      <c r="BH34" s="4"/>
      <c r="BK34" s="1"/>
      <c r="BM34" s="4"/>
      <c r="BO34" s="54"/>
      <c r="BP34" s="52"/>
      <c r="BR34" s="4"/>
      <c r="BT34" s="27"/>
      <c r="BV34" s="4"/>
      <c r="BY34" s="1"/>
      <c r="CA34" s="4"/>
      <c r="CD34" s="1"/>
    </row>
    <row r="35" spans="1:82" x14ac:dyDescent="0.35">
      <c r="A35" t="s">
        <v>58</v>
      </c>
      <c r="B35" s="42">
        <v>0.13</v>
      </c>
      <c r="Y35" s="4"/>
      <c r="AB35" s="1"/>
      <c r="AD35" s="4"/>
      <c r="AG35" s="1"/>
      <c r="AI35" s="4"/>
      <c r="AL35" s="1"/>
      <c r="AN35" s="4"/>
      <c r="AQ35" s="1"/>
      <c r="AS35" s="4"/>
      <c r="AV35" s="1"/>
      <c r="AX35" s="4"/>
      <c r="BA35" s="1"/>
      <c r="BC35" s="4"/>
      <c r="BF35" s="1"/>
      <c r="BH35" s="4"/>
      <c r="BK35" s="1"/>
      <c r="BM35" s="4"/>
      <c r="BO35" s="24"/>
      <c r="BP35" s="51"/>
      <c r="BR35" s="4"/>
      <c r="BT35" s="27"/>
      <c r="BV35" s="4"/>
      <c r="BY35" s="1"/>
      <c r="CA35" s="4"/>
      <c r="CD35" s="1"/>
    </row>
    <row r="36" spans="1:82" x14ac:dyDescent="0.35">
      <c r="A36" t="s">
        <v>59</v>
      </c>
      <c r="B36" s="42">
        <v>0.11</v>
      </c>
      <c r="Y36" s="4"/>
      <c r="AB36" s="1"/>
      <c r="AD36" s="4"/>
      <c r="AG36" s="1"/>
      <c r="AI36" s="4"/>
      <c r="AL36" s="1"/>
      <c r="AN36" s="4"/>
      <c r="AQ36" s="1"/>
      <c r="AS36" s="4"/>
      <c r="AV36" s="1"/>
      <c r="AX36" s="4"/>
      <c r="BA36" s="1"/>
      <c r="BC36" s="4"/>
      <c r="BF36" s="1"/>
      <c r="BH36" s="4"/>
      <c r="BK36" s="1"/>
      <c r="BM36" s="4"/>
      <c r="BO36" s="55"/>
      <c r="BP36" s="51"/>
      <c r="BR36" s="4"/>
      <c r="BT36" s="27"/>
      <c r="BV36" s="4"/>
      <c r="BY36" s="1"/>
      <c r="CA36" s="4"/>
      <c r="CD36" s="1"/>
    </row>
    <row r="37" spans="1:82" x14ac:dyDescent="0.35">
      <c r="A37" t="s">
        <v>60</v>
      </c>
      <c r="B37" s="42">
        <v>0.09</v>
      </c>
      <c r="Y37" s="4"/>
      <c r="AB37" s="1"/>
      <c r="AD37" s="4"/>
      <c r="AG37" s="1"/>
      <c r="AI37" s="4"/>
      <c r="AJ37" s="41"/>
      <c r="AK37" s="24"/>
      <c r="AL37" s="27"/>
      <c r="AN37" s="4"/>
      <c r="AP37" s="24"/>
      <c r="AQ37" s="27"/>
      <c r="AS37" s="4"/>
      <c r="AU37" s="24"/>
      <c r="AV37" s="27"/>
      <c r="AX37" s="4"/>
      <c r="AZ37" s="24"/>
      <c r="BA37" s="27"/>
      <c r="BC37" s="4"/>
      <c r="BE37" s="24"/>
      <c r="BF37" s="27"/>
      <c r="BH37" s="4"/>
      <c r="BJ37" s="24"/>
      <c r="BK37" s="27"/>
      <c r="BM37" s="4"/>
      <c r="BP37" s="51"/>
      <c r="BR37" s="4"/>
      <c r="BT37" s="1"/>
      <c r="BV37" s="4"/>
      <c r="BY37" s="1"/>
      <c r="CA37" s="4"/>
      <c r="CD37" s="1"/>
    </row>
    <row r="38" spans="1:82" x14ac:dyDescent="0.35">
      <c r="A38" t="s">
        <v>61</v>
      </c>
      <c r="B38" s="42">
        <v>0.09</v>
      </c>
    </row>
    <row r="40" spans="1:82" x14ac:dyDescent="0.35">
      <c r="A40" t="s">
        <v>62</v>
      </c>
      <c r="E40" t="s">
        <v>63</v>
      </c>
    </row>
    <row r="41" spans="1:82" x14ac:dyDescent="0.35">
      <c r="A41" t="s">
        <v>64</v>
      </c>
      <c r="E41" t="s">
        <v>65</v>
      </c>
    </row>
    <row r="43" spans="1:82" x14ac:dyDescent="0.35">
      <c r="A43" s="1" t="s">
        <v>66</v>
      </c>
    </row>
    <row r="44" spans="1:82" x14ac:dyDescent="0.35">
      <c r="A44" t="s">
        <v>67</v>
      </c>
    </row>
    <row r="45" spans="1:82" x14ac:dyDescent="0.35">
      <c r="A45" t="s">
        <v>68</v>
      </c>
      <c r="C45" t="s">
        <v>69</v>
      </c>
      <c r="E45" t="s">
        <v>70</v>
      </c>
      <c r="G45" t="s">
        <v>71</v>
      </c>
      <c r="K45" t="s">
        <v>72</v>
      </c>
    </row>
    <row r="46" spans="1:82" x14ac:dyDescent="0.35">
      <c r="A46" t="s">
        <v>73</v>
      </c>
      <c r="C46" s="42">
        <v>0.53</v>
      </c>
      <c r="E46" t="s">
        <v>74</v>
      </c>
      <c r="G46" s="42">
        <v>0.82</v>
      </c>
    </row>
    <row r="47" spans="1:82" x14ac:dyDescent="0.35">
      <c r="A47" t="s">
        <v>75</v>
      </c>
      <c r="C47" s="42">
        <v>0.12</v>
      </c>
      <c r="E47" t="s">
        <v>76</v>
      </c>
      <c r="G47" s="42">
        <v>0.12</v>
      </c>
    </row>
    <row r="48" spans="1:82" x14ac:dyDescent="0.35">
      <c r="A48" t="s">
        <v>77</v>
      </c>
      <c r="C48" s="42">
        <v>0.09</v>
      </c>
      <c r="E48" t="s">
        <v>78</v>
      </c>
      <c r="G48" s="42">
        <v>0.04</v>
      </c>
    </row>
    <row r="49" spans="1:34" x14ac:dyDescent="0.35">
      <c r="A49" t="s">
        <v>79</v>
      </c>
      <c r="C49" s="42">
        <v>0.09</v>
      </c>
      <c r="E49" t="s">
        <v>80</v>
      </c>
      <c r="G49" s="42">
        <v>0.02</v>
      </c>
      <c r="AF49" s="56"/>
    </row>
    <row r="50" spans="1:34" x14ac:dyDescent="0.35">
      <c r="A50" t="s">
        <v>81</v>
      </c>
      <c r="C50" s="42">
        <v>0.08</v>
      </c>
    </row>
    <row r="51" spans="1:34" x14ac:dyDescent="0.35">
      <c r="AF51" s="56"/>
    </row>
    <row r="52" spans="1:34" x14ac:dyDescent="0.35">
      <c r="A52" t="s">
        <v>82</v>
      </c>
      <c r="E52" t="s">
        <v>83</v>
      </c>
    </row>
    <row r="53" spans="1:34" x14ac:dyDescent="0.35">
      <c r="A53" t="s">
        <v>84</v>
      </c>
      <c r="E53" t="s">
        <v>85</v>
      </c>
      <c r="AF53" s="56"/>
    </row>
    <row r="55" spans="1:34" x14ac:dyDescent="0.35">
      <c r="A55" s="1" t="s">
        <v>86</v>
      </c>
      <c r="AF55" s="56"/>
    </row>
    <row r="56" spans="1:34" x14ac:dyDescent="0.35">
      <c r="A56" t="s">
        <v>87</v>
      </c>
      <c r="AF56" s="56"/>
    </row>
    <row r="57" spans="1:34" x14ac:dyDescent="0.35">
      <c r="A57" t="s">
        <v>88</v>
      </c>
      <c r="C57" t="s">
        <v>89</v>
      </c>
      <c r="F57" t="s">
        <v>90</v>
      </c>
      <c r="H57" t="s">
        <v>91</v>
      </c>
      <c r="K57" t="s">
        <v>72</v>
      </c>
    </row>
    <row r="58" spans="1:34" x14ac:dyDescent="0.35">
      <c r="A58" t="s">
        <v>81</v>
      </c>
      <c r="C58" s="42">
        <v>0.3</v>
      </c>
      <c r="F58" t="s">
        <v>74</v>
      </c>
      <c r="H58" s="42">
        <v>0.48</v>
      </c>
      <c r="W58" s="1"/>
      <c r="X58" s="1"/>
      <c r="Y58" s="1"/>
      <c r="Z58" s="1"/>
      <c r="AA58" s="22"/>
      <c r="AB58" s="1"/>
      <c r="AC58" s="1"/>
      <c r="AD58" s="1"/>
      <c r="AE58" s="22"/>
      <c r="AF58" s="1"/>
      <c r="AG58" s="1"/>
      <c r="AH58" s="1"/>
    </row>
    <row r="59" spans="1:34" x14ac:dyDescent="0.35">
      <c r="A59" t="s">
        <v>75</v>
      </c>
      <c r="C59" s="42">
        <v>0.26</v>
      </c>
      <c r="F59" t="s">
        <v>78</v>
      </c>
      <c r="H59" s="42">
        <v>0.2</v>
      </c>
      <c r="W59" s="1"/>
      <c r="X59" s="1"/>
      <c r="Y59" s="1"/>
      <c r="Z59" s="1"/>
      <c r="AA59" s="22"/>
      <c r="AB59" s="1"/>
      <c r="AC59" s="1"/>
      <c r="AD59" s="1"/>
      <c r="AE59" s="51"/>
      <c r="AF59" s="1"/>
      <c r="AG59" s="1"/>
      <c r="AH59" s="1"/>
    </row>
    <row r="60" spans="1:34" x14ac:dyDescent="0.35">
      <c r="A60" t="s">
        <v>73</v>
      </c>
      <c r="C60" s="42">
        <v>0.19</v>
      </c>
      <c r="F60" t="s">
        <v>80</v>
      </c>
      <c r="H60" s="42">
        <v>0.08</v>
      </c>
      <c r="W60" s="1"/>
      <c r="X60" s="1"/>
      <c r="Y60" s="1"/>
      <c r="Z60" s="1"/>
      <c r="AA60" s="22"/>
      <c r="AB60" s="27"/>
      <c r="AC60" s="1"/>
      <c r="AD60" s="1"/>
      <c r="AE60" s="27"/>
      <c r="AF60" s="27"/>
      <c r="AG60" s="27"/>
      <c r="AH60" s="27"/>
    </row>
    <row r="61" spans="1:34" x14ac:dyDescent="0.35">
      <c r="A61" t="s">
        <v>77</v>
      </c>
      <c r="C61" s="42">
        <v>0.09</v>
      </c>
      <c r="W61" s="1"/>
      <c r="X61" s="1"/>
      <c r="Y61" s="1"/>
      <c r="Z61" s="1"/>
      <c r="AA61" s="22"/>
      <c r="AB61" s="1"/>
      <c r="AC61" s="1"/>
      <c r="AD61" s="1"/>
      <c r="AE61" s="27"/>
      <c r="AF61" s="27"/>
      <c r="AG61" s="27"/>
      <c r="AH61" s="27"/>
    </row>
    <row r="62" spans="1:34" x14ac:dyDescent="0.35">
      <c r="A62" t="s">
        <v>79</v>
      </c>
      <c r="C62" s="42">
        <v>0.08</v>
      </c>
      <c r="W62" s="1"/>
      <c r="X62" s="1"/>
      <c r="Y62" s="1"/>
      <c r="Z62" s="1"/>
      <c r="AA62" s="34"/>
      <c r="AB62" s="1"/>
      <c r="AC62" s="1"/>
      <c r="AD62" s="1"/>
      <c r="AE62" s="27"/>
      <c r="AF62" s="27"/>
      <c r="AG62" s="27"/>
      <c r="AH62" s="27"/>
    </row>
    <row r="63" spans="1:34" x14ac:dyDescent="0.35">
      <c r="W63" s="1"/>
      <c r="X63" s="1"/>
      <c r="Y63" s="1"/>
      <c r="Z63" s="1"/>
      <c r="AA63" s="22"/>
      <c r="AB63" s="1"/>
      <c r="AC63" s="1"/>
      <c r="AD63" s="1"/>
      <c r="AE63" s="27"/>
      <c r="AF63" s="27"/>
      <c r="AG63" s="27"/>
      <c r="AH63" s="27"/>
    </row>
    <row r="64" spans="1:34" x14ac:dyDescent="0.35">
      <c r="A64" t="s">
        <v>92</v>
      </c>
      <c r="E64" t="s">
        <v>93</v>
      </c>
      <c r="J64" t="s">
        <v>94</v>
      </c>
      <c r="W64" s="1"/>
      <c r="X64" s="1"/>
      <c r="Y64" s="1"/>
      <c r="Z64" s="1"/>
      <c r="AA64" s="39"/>
      <c r="AB64" s="1"/>
      <c r="AC64" s="1"/>
      <c r="AD64" s="1"/>
      <c r="AE64" s="52"/>
      <c r="AF64" s="27"/>
      <c r="AG64" s="1"/>
      <c r="AH64" s="1"/>
    </row>
    <row r="65" spans="1:72" x14ac:dyDescent="0.35">
      <c r="A65" t="s">
        <v>95</v>
      </c>
      <c r="E65" t="s">
        <v>96</v>
      </c>
      <c r="J65" t="s">
        <v>48</v>
      </c>
      <c r="W65" s="1"/>
      <c r="X65" s="1"/>
      <c r="Y65" s="1"/>
      <c r="Z65" s="1"/>
      <c r="AA65" s="39"/>
      <c r="AB65" s="1"/>
      <c r="AC65" s="1"/>
      <c r="AD65" s="1"/>
      <c r="AE65" s="27"/>
      <c r="AF65" s="27"/>
      <c r="AG65" s="27"/>
      <c r="AH65" s="27"/>
    </row>
    <row r="66" spans="1:72" x14ac:dyDescent="0.35">
      <c r="W66" s="1"/>
      <c r="X66" s="1"/>
      <c r="Y66" s="1"/>
      <c r="Z66" s="1"/>
      <c r="AA66" s="39"/>
      <c r="AB66" s="1"/>
      <c r="AC66" s="1"/>
      <c r="AD66" s="1"/>
      <c r="AE66" s="52"/>
      <c r="AF66" s="27"/>
      <c r="AG66" s="1"/>
      <c r="AH66" s="1"/>
    </row>
    <row r="67" spans="1:72" x14ac:dyDescent="0.35">
      <c r="W67" s="1"/>
      <c r="X67" s="1"/>
      <c r="Y67" s="1"/>
      <c r="Z67" s="1"/>
      <c r="AA67" s="1"/>
      <c r="AB67" s="1"/>
      <c r="AC67" s="1"/>
      <c r="AD67" s="1"/>
      <c r="AE67" s="51"/>
      <c r="AF67" s="27"/>
      <c r="AG67" s="1"/>
      <c r="AH67" s="1"/>
    </row>
    <row r="68" spans="1:72" x14ac:dyDescent="0.35">
      <c r="W68" s="1"/>
      <c r="X68" s="1"/>
      <c r="Y68" s="1"/>
      <c r="Z68" s="1"/>
      <c r="AA68" s="1"/>
      <c r="AB68" s="1"/>
      <c r="AC68" s="1"/>
      <c r="AD68" s="1"/>
      <c r="AE68" s="51"/>
      <c r="AF68" s="27"/>
      <c r="AG68" s="1"/>
      <c r="AH68" s="1"/>
    </row>
    <row r="69" spans="1:72" x14ac:dyDescent="0.35">
      <c r="W69" s="1"/>
      <c r="X69" s="1"/>
      <c r="Y69" s="27"/>
      <c r="Z69" s="27"/>
      <c r="AA69" s="27"/>
      <c r="AB69" s="27"/>
      <c r="AC69" s="27"/>
      <c r="AD69" s="27"/>
      <c r="AE69" s="51"/>
      <c r="AF69" s="1"/>
      <c r="AG69" s="1"/>
      <c r="AH69" s="1"/>
    </row>
    <row r="75" spans="1:72" x14ac:dyDescent="0.35">
      <c r="O75" s="57"/>
      <c r="T75" s="2"/>
      <c r="Y75" s="57"/>
      <c r="AD75" s="2"/>
      <c r="AI75" s="2"/>
      <c r="AN75" s="2"/>
      <c r="AS75" s="2"/>
      <c r="AX75" s="2"/>
      <c r="BC75" s="2"/>
      <c r="BH75" s="2"/>
      <c r="BL75" s="2"/>
      <c r="BQ75" s="2"/>
    </row>
    <row r="76" spans="1:72" x14ac:dyDescent="0.35">
      <c r="R76" s="1"/>
      <c r="W76" s="1"/>
      <c r="Y76" s="23"/>
      <c r="AB76" s="1"/>
      <c r="AG76" s="1"/>
      <c r="AL76" s="1"/>
      <c r="AQ76" s="1"/>
      <c r="AV76" s="1"/>
      <c r="BA76" s="1"/>
      <c r="BF76" s="1"/>
      <c r="BO76" s="1"/>
      <c r="BT76" s="1"/>
    </row>
    <row r="77" spans="1:72" x14ac:dyDescent="0.35">
      <c r="O77" s="4"/>
      <c r="R77" s="1"/>
      <c r="T77" s="4"/>
      <c r="W77" s="1"/>
      <c r="X77" s="20"/>
      <c r="Y77" s="4"/>
      <c r="AB77" s="1"/>
      <c r="AC77" s="20"/>
      <c r="AD77" s="4"/>
      <c r="AG77" s="1"/>
      <c r="AH77" s="20"/>
      <c r="AI77" s="4"/>
      <c r="AL77" s="22"/>
      <c r="AM77" s="20"/>
      <c r="AN77" s="4"/>
      <c r="AQ77" s="1"/>
      <c r="AR77" s="20"/>
      <c r="AS77" s="4"/>
      <c r="AV77" s="1"/>
      <c r="AW77" s="20"/>
      <c r="AX77" s="4"/>
      <c r="BA77" s="1"/>
      <c r="BC77" s="4"/>
      <c r="BE77" s="23"/>
      <c r="BF77" s="22"/>
      <c r="BG77" s="20"/>
      <c r="BH77" s="4"/>
      <c r="BJ77" s="1"/>
      <c r="BK77" s="20"/>
      <c r="BL77" s="4"/>
      <c r="BO77" s="1"/>
      <c r="BP77" s="20"/>
      <c r="BQ77" s="4"/>
      <c r="BT77" s="1"/>
    </row>
    <row r="78" spans="1:72" x14ac:dyDescent="0.35">
      <c r="O78" s="4"/>
      <c r="R78" s="1"/>
      <c r="T78" s="4"/>
      <c r="W78" s="1"/>
      <c r="Y78" s="4"/>
      <c r="AB78" s="1"/>
      <c r="AD78" s="4"/>
      <c r="AG78" s="1"/>
      <c r="AI78" s="4"/>
      <c r="AL78" s="22"/>
      <c r="AN78" s="4"/>
      <c r="AP78" s="24"/>
      <c r="AQ78" s="1"/>
      <c r="AS78" s="4"/>
      <c r="AV78" s="1"/>
      <c r="AX78" s="4"/>
      <c r="BA78" s="1"/>
      <c r="BC78" s="4"/>
      <c r="BE78" s="23"/>
      <c r="BF78" s="51"/>
      <c r="BH78" s="4"/>
      <c r="BJ78" s="1"/>
      <c r="BL78" s="4"/>
      <c r="BO78" s="1"/>
      <c r="BQ78" s="4"/>
      <c r="BT78" s="1"/>
    </row>
    <row r="79" spans="1:72" x14ac:dyDescent="0.35">
      <c r="O79" s="4"/>
      <c r="R79" s="1"/>
      <c r="T79" s="4"/>
      <c r="W79" s="1"/>
      <c r="Y79" s="4"/>
      <c r="AB79" s="1"/>
      <c r="AD79" s="4"/>
      <c r="AG79" s="1"/>
      <c r="AI79" s="4"/>
      <c r="AL79" s="22"/>
      <c r="AN79" s="4"/>
      <c r="AO79" s="24"/>
      <c r="AP79" s="24"/>
      <c r="AQ79" s="27"/>
      <c r="AS79" s="4"/>
      <c r="AV79" s="1"/>
      <c r="AX79" s="4"/>
      <c r="BA79" s="1"/>
      <c r="BC79" s="4"/>
      <c r="BF79" s="27"/>
      <c r="BH79" s="4"/>
      <c r="BI79" s="24"/>
      <c r="BJ79" s="27"/>
      <c r="BL79" s="4"/>
      <c r="BN79" s="24"/>
      <c r="BO79" s="27"/>
      <c r="BQ79" s="4"/>
      <c r="BS79" s="24"/>
      <c r="BT79" s="27"/>
    </row>
    <row r="80" spans="1:72" x14ac:dyDescent="0.35">
      <c r="O80" s="4"/>
      <c r="R80" s="1"/>
      <c r="T80" s="4"/>
      <c r="V80" s="24"/>
      <c r="W80" s="1"/>
      <c r="Y80" s="4"/>
      <c r="AB80" s="1"/>
      <c r="AD80" s="4"/>
      <c r="AG80" s="1"/>
      <c r="AI80" s="4"/>
      <c r="AL80" s="22"/>
      <c r="AN80" s="4"/>
      <c r="AP80" s="24"/>
      <c r="AQ80" s="1"/>
      <c r="AS80" s="4"/>
      <c r="AV80" s="1"/>
      <c r="AX80" s="4"/>
      <c r="BA80" s="1"/>
      <c r="BC80" s="4"/>
      <c r="BF80" s="27"/>
      <c r="BH80" s="4"/>
      <c r="BJ80" s="27"/>
      <c r="BL80" s="4"/>
      <c r="BN80" s="24"/>
      <c r="BO80" s="27"/>
      <c r="BQ80" s="4"/>
      <c r="BS80" s="24"/>
      <c r="BT80" s="27"/>
    </row>
    <row r="81" spans="15:72" x14ac:dyDescent="0.35">
      <c r="O81" s="4"/>
      <c r="R81" s="1"/>
      <c r="T81" s="4"/>
      <c r="V81" s="24"/>
      <c r="W81" s="1"/>
      <c r="Y81" s="4"/>
      <c r="AB81" s="1"/>
      <c r="AD81" s="4"/>
      <c r="AG81" s="1"/>
      <c r="AI81" s="4"/>
      <c r="AK81" s="33"/>
      <c r="AL81" s="34"/>
      <c r="AN81" s="4"/>
      <c r="AP81" s="24"/>
      <c r="AQ81" s="1"/>
      <c r="AS81" s="4"/>
      <c r="AV81" s="1"/>
      <c r="AX81" s="4"/>
      <c r="BA81" s="1"/>
      <c r="BC81" s="4"/>
      <c r="BE81" s="24"/>
      <c r="BF81" s="27"/>
      <c r="BH81" s="4"/>
      <c r="BJ81" s="27"/>
      <c r="BL81" s="4"/>
      <c r="BN81" s="24"/>
      <c r="BO81" s="27"/>
      <c r="BQ81" s="4"/>
      <c r="BS81" s="24"/>
      <c r="BT81" s="27"/>
    </row>
    <row r="82" spans="15:72" x14ac:dyDescent="0.35">
      <c r="O82" s="4"/>
      <c r="R82" s="1"/>
      <c r="T82" s="4"/>
      <c r="V82" s="24"/>
      <c r="W82" s="1"/>
      <c r="Y82" s="4"/>
      <c r="AB82" s="1"/>
      <c r="AD82" s="4"/>
      <c r="AG82" s="1"/>
      <c r="AI82" s="4"/>
      <c r="AL82" s="22"/>
      <c r="AN82" s="4"/>
      <c r="AP82" s="24"/>
      <c r="AQ82" s="1"/>
      <c r="AS82" s="4"/>
      <c r="AV82" s="1"/>
      <c r="AX82" s="4"/>
      <c r="BA82" s="1"/>
      <c r="BC82" s="4"/>
      <c r="BE82" s="24"/>
      <c r="BF82" s="27"/>
      <c r="BH82" s="4"/>
      <c r="BJ82" s="27"/>
      <c r="BL82" s="4"/>
      <c r="BN82" s="24"/>
      <c r="BO82" s="27"/>
      <c r="BQ82" s="4"/>
      <c r="BS82" s="24"/>
      <c r="BT82" s="27"/>
    </row>
    <row r="83" spans="15:72" x14ac:dyDescent="0.35">
      <c r="O83" s="4"/>
      <c r="R83" s="1"/>
      <c r="T83" s="4"/>
      <c r="W83" s="1"/>
      <c r="Y83" s="4"/>
      <c r="AB83" s="1"/>
      <c r="AD83" s="4"/>
      <c r="AG83" s="1"/>
      <c r="AI83" s="4"/>
      <c r="AK83" s="38"/>
      <c r="AL83" s="39"/>
      <c r="AN83" s="4"/>
      <c r="AP83" s="24"/>
      <c r="AQ83" s="1"/>
      <c r="AS83" s="4"/>
      <c r="AV83" s="1"/>
      <c r="AX83" s="4"/>
      <c r="BA83" s="1"/>
      <c r="BC83" s="4"/>
      <c r="BE83" s="54"/>
      <c r="BF83" s="52"/>
      <c r="BH83" s="4"/>
      <c r="BJ83" s="27"/>
      <c r="BL83" s="4"/>
      <c r="BO83" s="1"/>
      <c r="BQ83" s="4"/>
      <c r="BT83" s="1"/>
    </row>
    <row r="84" spans="15:72" x14ac:dyDescent="0.35">
      <c r="O84" s="4"/>
      <c r="R84" s="1"/>
      <c r="T84" s="4"/>
      <c r="W84" s="1"/>
      <c r="Y84" s="4"/>
      <c r="AB84" s="1"/>
      <c r="AD84" s="4"/>
      <c r="AG84" s="1"/>
      <c r="AI84" s="4"/>
      <c r="AK84" s="38"/>
      <c r="AL84" s="39"/>
      <c r="AN84" s="4"/>
      <c r="AP84" s="24"/>
      <c r="AQ84" s="1"/>
      <c r="AS84" s="4"/>
      <c r="AV84" s="1"/>
      <c r="AX84" s="4"/>
      <c r="BA84" s="1"/>
      <c r="BC84" s="4"/>
      <c r="BE84" s="24"/>
      <c r="BF84" s="27"/>
      <c r="BH84" s="4"/>
      <c r="BJ84" s="27"/>
      <c r="BL84" s="4"/>
      <c r="BN84" s="24"/>
      <c r="BO84" s="27"/>
      <c r="BQ84" s="4"/>
      <c r="BS84" s="24"/>
      <c r="BT84" s="27"/>
    </row>
    <row r="85" spans="15:72" x14ac:dyDescent="0.35">
      <c r="O85" s="4"/>
      <c r="R85" s="1"/>
      <c r="T85" s="4"/>
      <c r="W85" s="1"/>
      <c r="Y85" s="4"/>
      <c r="AB85" s="1"/>
      <c r="AD85" s="4"/>
      <c r="AG85" s="1"/>
      <c r="AI85" s="4"/>
      <c r="AK85" s="38"/>
      <c r="AL85" s="39"/>
      <c r="AN85" s="4"/>
      <c r="AP85" s="24"/>
      <c r="AQ85" s="1"/>
      <c r="AS85" s="4"/>
      <c r="AV85" s="1"/>
      <c r="AX85" s="4"/>
      <c r="BA85" s="1"/>
      <c r="BC85" s="4"/>
      <c r="BE85" s="54"/>
      <c r="BF85" s="52"/>
      <c r="BH85" s="4"/>
      <c r="BJ85" s="27"/>
      <c r="BL85" s="4"/>
      <c r="BO85" s="1"/>
      <c r="BQ85" s="4"/>
      <c r="BT85" s="1"/>
    </row>
    <row r="86" spans="15:72" x14ac:dyDescent="0.35">
      <c r="O86" s="4"/>
      <c r="R86" s="1"/>
      <c r="T86" s="4"/>
      <c r="W86" s="1"/>
      <c r="Y86" s="4"/>
      <c r="AB86" s="1"/>
      <c r="AD86" s="4"/>
      <c r="AG86" s="1"/>
      <c r="AI86" s="4"/>
      <c r="AL86" s="1"/>
      <c r="AN86" s="4"/>
      <c r="AQ86" s="1"/>
      <c r="AS86" s="4"/>
      <c r="AV86" s="1"/>
      <c r="AX86" s="4"/>
      <c r="BA86" s="1"/>
      <c r="BC86" s="4"/>
      <c r="BE86" s="24"/>
      <c r="BF86" s="51"/>
      <c r="BH86" s="4"/>
      <c r="BJ86" s="27"/>
      <c r="BL86" s="4"/>
      <c r="BO86" s="1"/>
      <c r="BQ86" s="4"/>
      <c r="BT86" s="1"/>
    </row>
    <row r="87" spans="15:72" x14ac:dyDescent="0.35">
      <c r="O87" s="4"/>
      <c r="R87" s="1"/>
      <c r="T87" s="4"/>
      <c r="W87" s="1"/>
      <c r="Y87" s="4"/>
      <c r="AB87" s="1"/>
      <c r="AD87" s="4"/>
      <c r="AG87" s="1"/>
      <c r="AI87" s="4"/>
      <c r="AL87" s="1"/>
      <c r="AN87" s="4"/>
      <c r="AQ87" s="1"/>
      <c r="AS87" s="4"/>
      <c r="AV87" s="1"/>
      <c r="AX87" s="4"/>
      <c r="BA87" s="1"/>
      <c r="BC87" s="4"/>
      <c r="BE87" s="55"/>
      <c r="BF87" s="51"/>
      <c r="BH87" s="4"/>
      <c r="BJ87" s="27"/>
      <c r="BL87" s="4"/>
      <c r="BO87" s="1"/>
      <c r="BQ87" s="4"/>
      <c r="BT87" s="1"/>
    </row>
    <row r="88" spans="15:72" x14ac:dyDescent="0.35">
      <c r="O88" s="4"/>
      <c r="R88" s="1"/>
      <c r="T88" s="4"/>
      <c r="W88" s="1"/>
      <c r="Y88" s="4"/>
      <c r="Z88" s="41"/>
      <c r="AA88" s="24"/>
      <c r="AB88" s="27"/>
      <c r="AD88" s="4"/>
      <c r="AF88" s="24"/>
      <c r="AG88" s="27"/>
      <c r="AI88" s="4"/>
      <c r="AK88" s="24"/>
      <c r="AL88" s="27"/>
      <c r="AN88" s="4"/>
      <c r="AP88" s="24"/>
      <c r="AQ88" s="27"/>
      <c r="AS88" s="4"/>
      <c r="AU88" s="24"/>
      <c r="AV88" s="27"/>
      <c r="AX88" s="4"/>
      <c r="AZ88" s="24"/>
      <c r="BA88" s="27"/>
      <c r="BC88" s="4"/>
      <c r="BF88" s="51"/>
      <c r="BH88" s="4"/>
      <c r="BJ88" s="1"/>
      <c r="BL88" s="4"/>
      <c r="BO88" s="1"/>
      <c r="BQ88" s="4"/>
      <c r="BT88" s="1"/>
    </row>
  </sheetData>
  <mergeCells count="13">
    <mergeCell ref="AA5:AA6"/>
    <mergeCell ref="B5:B6"/>
    <mergeCell ref="G5:G6"/>
    <mergeCell ref="L5:L6"/>
    <mergeCell ref="Q5:Q6"/>
    <mergeCell ref="V5:V6"/>
    <mergeCell ref="BS24:BS25"/>
    <mergeCell ref="AU5:AU6"/>
    <mergeCell ref="AY5:AY6"/>
    <mergeCell ref="BD5:BD6"/>
    <mergeCell ref="AF5:AF6"/>
    <mergeCell ref="AK5:AK6"/>
    <mergeCell ref="AP5:AP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2F13-FCD9-4730-8D7C-3E341C842473}">
  <dimension ref="A1:AE50"/>
  <sheetViews>
    <sheetView topLeftCell="A17" zoomScale="79" zoomScaleNormal="115" workbookViewId="0">
      <selection activeCell="B35" sqref="B35"/>
    </sheetView>
  </sheetViews>
  <sheetFormatPr defaultRowHeight="14.5" x14ac:dyDescent="0.35"/>
  <sheetData>
    <row r="1" spans="1:31" x14ac:dyDescent="0.35">
      <c r="A1" s="1" t="s">
        <v>101</v>
      </c>
      <c r="S1" s="1" t="s">
        <v>102</v>
      </c>
    </row>
    <row r="2" spans="1:31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T2" s="2" t="s">
        <v>0</v>
      </c>
      <c r="U2" s="2" t="s">
        <v>1</v>
      </c>
      <c r="V2" s="2" t="s">
        <v>2</v>
      </c>
      <c r="W2" s="2" t="s">
        <v>3</v>
      </c>
      <c r="X2" s="2" t="s">
        <v>4</v>
      </c>
      <c r="Y2" s="2" t="s">
        <v>5</v>
      </c>
      <c r="Z2" s="2" t="s">
        <v>6</v>
      </c>
      <c r="AA2" s="2" t="s">
        <v>7</v>
      </c>
      <c r="AB2" s="2" t="s">
        <v>8</v>
      </c>
      <c r="AC2" s="2" t="s">
        <v>9</v>
      </c>
      <c r="AD2" s="2" t="s">
        <v>10</v>
      </c>
      <c r="AE2" s="2" t="s">
        <v>11</v>
      </c>
    </row>
    <row r="3" spans="1:31" x14ac:dyDescent="0.35">
      <c r="A3" s="4" t="s">
        <v>0</v>
      </c>
      <c r="B3" s="1">
        <f>rating_per_OD_pair!D7</f>
        <v>0</v>
      </c>
      <c r="C3" s="1" t="str">
        <f>rating_per_OD_pair!I7</f>
        <v>A</v>
      </c>
      <c r="D3" s="1" t="str">
        <f>rating_per_OD_pair!N7</f>
        <v>C</v>
      </c>
      <c r="E3" s="1" t="str">
        <f>rating_per_OD_pair!S7</f>
        <v>C</v>
      </c>
      <c r="F3" s="22" t="str">
        <f>rating_per_OD_pair!X7</f>
        <v>C</v>
      </c>
      <c r="G3" s="1" t="str">
        <f>rating_per_OD_pair!AC7</f>
        <v>A</v>
      </c>
      <c r="H3" s="1" t="str">
        <f>rating_per_OD_pair!AH7</f>
        <v>C</v>
      </c>
      <c r="I3" s="1" t="str">
        <f>rating_per_OD_pair!AM7</f>
        <v>C</v>
      </c>
      <c r="J3" s="22" t="str">
        <f>rating_per_OD_pair!AR7</f>
        <v>A</v>
      </c>
      <c r="K3" s="1" t="str">
        <f>rating_per_OD_pair!AV7</f>
        <v>A</v>
      </c>
      <c r="L3" s="1" t="str">
        <f>rating_per_OD_pair!BA7</f>
        <v>A</v>
      </c>
      <c r="M3" s="1" t="str">
        <f>rating_per_OD_pair!BF7</f>
        <v>A</v>
      </c>
      <c r="O3" s="46" t="s">
        <v>118</v>
      </c>
      <c r="P3" t="s">
        <v>119</v>
      </c>
      <c r="Q3">
        <v>2.33</v>
      </c>
      <c r="S3" s="4" t="s">
        <v>0</v>
      </c>
      <c r="T3">
        <f t="shared" ref="T3:T13" si="0">VLOOKUP(B3, $P$3:$Q$11, 2, FALSE)</f>
        <v>0</v>
      </c>
      <c r="U3">
        <f t="shared" ref="U3:U14" si="1">VLOOKUP(C3, $P$3:$Q$11, 2, FALSE)</f>
        <v>1.67</v>
      </c>
      <c r="V3">
        <f t="shared" ref="V3:V14" si="2">VLOOKUP(D3, $P$3:$Q$11, 2, FALSE)</f>
        <v>1</v>
      </c>
      <c r="W3">
        <f t="shared" ref="W3:W14" si="3">VLOOKUP(E3, $P$3:$Q$11, 2, FALSE)</f>
        <v>1</v>
      </c>
      <c r="X3">
        <f t="shared" ref="X3:X14" si="4">VLOOKUP(F3, $P$3:$Q$11, 2, FALSE)</f>
        <v>1</v>
      </c>
      <c r="Y3">
        <f t="shared" ref="Y3:Y14" si="5">VLOOKUP(G3, $P$3:$Q$11, 2, FALSE)</f>
        <v>1.67</v>
      </c>
      <c r="Z3">
        <f t="shared" ref="Z3:Z14" si="6">VLOOKUP(H3, $P$3:$Q$11, 2, FALSE)</f>
        <v>1</v>
      </c>
      <c r="AA3">
        <f t="shared" ref="AA3:AA14" si="7">VLOOKUP(I3, $P$3:$Q$11, 2, FALSE)</f>
        <v>1</v>
      </c>
      <c r="AB3">
        <f t="shared" ref="AB3:AB14" si="8">VLOOKUP(J3, $P$3:$Q$11, 2, FALSE)</f>
        <v>1.67</v>
      </c>
      <c r="AC3">
        <f t="shared" ref="AC3:AC14" si="9">VLOOKUP(K3, $P$3:$Q$11, 2, FALSE)</f>
        <v>1.67</v>
      </c>
      <c r="AD3">
        <f t="shared" ref="AD3:AD14" si="10">VLOOKUP(L3, $P$3:$Q$11, 2, FALSE)</f>
        <v>1.67</v>
      </c>
      <c r="AE3">
        <f t="shared" ref="AE3:AE14" si="11">VLOOKUP(M3, $P$3:$Q$11, 2, FALSE)</f>
        <v>1.67</v>
      </c>
    </row>
    <row r="4" spans="1:31" x14ac:dyDescent="0.35">
      <c r="A4" s="4" t="s">
        <v>1</v>
      </c>
      <c r="B4" s="1" t="str">
        <f>rating_per_OD_pair!D8</f>
        <v>A</v>
      </c>
      <c r="C4" s="1">
        <f>rating_per_OD_pair!I8</f>
        <v>0</v>
      </c>
      <c r="D4" s="1" t="str">
        <f>rating_per_OD_pair!N8</f>
        <v>A</v>
      </c>
      <c r="E4" s="1" t="str">
        <f>rating_per_OD_pair!S8</f>
        <v>B</v>
      </c>
      <c r="F4" s="22" t="str">
        <f>rating_per_OD_pair!X8</f>
        <v>A</v>
      </c>
      <c r="G4" s="1" t="str">
        <f>rating_per_OD_pair!AC8</f>
        <v>A</v>
      </c>
      <c r="H4" s="1" t="str">
        <f>rating_per_OD_pair!AH8</f>
        <v>B</v>
      </c>
      <c r="I4" s="1" t="str">
        <f>rating_per_OD_pair!AM8</f>
        <v>A</v>
      </c>
      <c r="J4" s="22" t="str">
        <f>rating_per_OD_pair!AR8</f>
        <v>E</v>
      </c>
      <c r="K4" s="1" t="str">
        <f>rating_per_OD_pair!AV8</f>
        <v>E</v>
      </c>
      <c r="L4" s="1" t="str">
        <f>rating_per_OD_pair!BA8</f>
        <v>E</v>
      </c>
      <c r="M4" s="1" t="str">
        <f>rating_per_OD_pair!BF8</f>
        <v>E</v>
      </c>
      <c r="O4" s="45" t="s">
        <v>103</v>
      </c>
      <c r="P4" s="20" t="s">
        <v>32</v>
      </c>
      <c r="Q4">
        <v>2</v>
      </c>
      <c r="S4" s="4" t="s">
        <v>1</v>
      </c>
      <c r="T4">
        <f t="shared" si="0"/>
        <v>1.67</v>
      </c>
      <c r="U4">
        <f t="shared" si="1"/>
        <v>0</v>
      </c>
      <c r="V4">
        <f t="shared" si="2"/>
        <v>1.67</v>
      </c>
      <c r="W4">
        <f t="shared" si="3"/>
        <v>1.33</v>
      </c>
      <c r="X4">
        <f t="shared" si="4"/>
        <v>1.67</v>
      </c>
      <c r="Y4">
        <f t="shared" si="5"/>
        <v>1.67</v>
      </c>
      <c r="Z4">
        <f t="shared" si="6"/>
        <v>1.33</v>
      </c>
      <c r="AA4">
        <f t="shared" si="7"/>
        <v>1.67</v>
      </c>
      <c r="AB4">
        <f t="shared" si="8"/>
        <v>0.33</v>
      </c>
      <c r="AC4">
        <f t="shared" si="9"/>
        <v>0.33</v>
      </c>
      <c r="AD4">
        <f t="shared" si="10"/>
        <v>0.33</v>
      </c>
      <c r="AE4">
        <f t="shared" si="11"/>
        <v>0.33</v>
      </c>
    </row>
    <row r="5" spans="1:31" x14ac:dyDescent="0.35">
      <c r="A5" s="4" t="s">
        <v>2</v>
      </c>
      <c r="B5" s="1" t="str">
        <f>rating_per_OD_pair!D9</f>
        <v>C</v>
      </c>
      <c r="C5" s="1" t="str">
        <f>rating_per_OD_pair!I9</f>
        <v>B</v>
      </c>
      <c r="D5" s="1">
        <f>rating_per_OD_pair!N9</f>
        <v>0</v>
      </c>
      <c r="E5" s="1" t="str">
        <f>rating_per_OD_pair!S9</f>
        <v>C</v>
      </c>
      <c r="F5" s="22" t="str">
        <f>rating_per_OD_pair!X9</f>
        <v>C</v>
      </c>
      <c r="G5" s="1" t="str">
        <f>rating_per_OD_pair!AC9</f>
        <v>C</v>
      </c>
      <c r="H5" s="1" t="str">
        <f>rating_per_OD_pair!AH9</f>
        <v>C</v>
      </c>
      <c r="I5" s="1" t="str">
        <f>rating_per_OD_pair!AM9</f>
        <v>C</v>
      </c>
      <c r="J5" s="22" t="str">
        <f>rating_per_OD_pair!AR9</f>
        <v>E</v>
      </c>
      <c r="K5" s="1" t="str">
        <f>rating_per_OD_pair!AV9</f>
        <v>E</v>
      </c>
      <c r="L5" s="1" t="str">
        <f>rating_per_OD_pair!BA9</f>
        <v>E</v>
      </c>
      <c r="M5" s="1" t="str">
        <f>rating_per_OD_pair!BF9</f>
        <v>E</v>
      </c>
      <c r="O5" s="46" t="s">
        <v>104</v>
      </c>
      <c r="P5" t="s">
        <v>29</v>
      </c>
      <c r="Q5">
        <v>1.67</v>
      </c>
      <c r="S5" s="4" t="s">
        <v>2</v>
      </c>
      <c r="T5">
        <f t="shared" si="0"/>
        <v>1</v>
      </c>
      <c r="U5">
        <f t="shared" si="1"/>
        <v>1.33</v>
      </c>
      <c r="V5">
        <f t="shared" si="2"/>
        <v>0</v>
      </c>
      <c r="W5">
        <f t="shared" si="3"/>
        <v>1</v>
      </c>
      <c r="X5">
        <f t="shared" si="4"/>
        <v>1</v>
      </c>
      <c r="Y5">
        <f t="shared" si="5"/>
        <v>1</v>
      </c>
      <c r="Z5">
        <f t="shared" si="6"/>
        <v>1</v>
      </c>
      <c r="AA5">
        <f t="shared" si="7"/>
        <v>1</v>
      </c>
      <c r="AB5">
        <f t="shared" si="8"/>
        <v>0.33</v>
      </c>
      <c r="AC5">
        <f t="shared" si="9"/>
        <v>0.33</v>
      </c>
      <c r="AD5">
        <f t="shared" si="10"/>
        <v>0.33</v>
      </c>
      <c r="AE5">
        <f t="shared" si="11"/>
        <v>0.33</v>
      </c>
    </row>
    <row r="6" spans="1:31" x14ac:dyDescent="0.35">
      <c r="A6" s="4" t="s">
        <v>3</v>
      </c>
      <c r="B6" s="1" t="str">
        <f>rating_per_OD_pair!D10</f>
        <v>D</v>
      </c>
      <c r="C6" s="1" t="str">
        <f>rating_per_OD_pair!I10</f>
        <v>E</v>
      </c>
      <c r="D6" s="1" t="str">
        <f>rating_per_OD_pair!N10</f>
        <v>D</v>
      </c>
      <c r="E6" s="1">
        <f>rating_per_OD_pair!S10</f>
        <v>0</v>
      </c>
      <c r="F6" s="22" t="str">
        <f>rating_per_OD_pair!X10</f>
        <v>C</v>
      </c>
      <c r="G6" s="1" t="str">
        <f>rating_per_OD_pair!AC10</f>
        <v>C</v>
      </c>
      <c r="H6" s="1" t="str">
        <f>rating_per_OD_pair!AH10</f>
        <v>C</v>
      </c>
      <c r="I6" s="1" t="str">
        <f>rating_per_OD_pair!AM10</f>
        <v>C</v>
      </c>
      <c r="J6" s="22" t="str">
        <f>rating_per_OD_pair!AR10</f>
        <v>E</v>
      </c>
      <c r="K6" s="1" t="str">
        <f>rating_per_OD_pair!AV10</f>
        <v>E</v>
      </c>
      <c r="L6" s="1" t="str">
        <f>rating_per_OD_pair!BA10</f>
        <v>E</v>
      </c>
      <c r="M6" s="1" t="str">
        <f>rating_per_OD_pair!BF10</f>
        <v>E</v>
      </c>
      <c r="O6" t="s">
        <v>105</v>
      </c>
      <c r="P6" t="s">
        <v>30</v>
      </c>
      <c r="Q6">
        <v>1.33</v>
      </c>
      <c r="S6" s="4" t="s">
        <v>3</v>
      </c>
      <c r="T6">
        <f t="shared" si="0"/>
        <v>0.67</v>
      </c>
      <c r="U6">
        <f t="shared" si="1"/>
        <v>0.33</v>
      </c>
      <c r="V6">
        <f t="shared" si="2"/>
        <v>0.67</v>
      </c>
      <c r="W6">
        <f t="shared" si="3"/>
        <v>0</v>
      </c>
      <c r="X6">
        <f t="shared" si="4"/>
        <v>1</v>
      </c>
      <c r="Y6">
        <f t="shared" si="5"/>
        <v>1</v>
      </c>
      <c r="Z6">
        <f t="shared" si="6"/>
        <v>1</v>
      </c>
      <c r="AA6">
        <f t="shared" si="7"/>
        <v>1</v>
      </c>
      <c r="AB6">
        <f t="shared" si="8"/>
        <v>0.33</v>
      </c>
      <c r="AC6">
        <f t="shared" si="9"/>
        <v>0.33</v>
      </c>
      <c r="AD6">
        <f t="shared" si="10"/>
        <v>0.33</v>
      </c>
      <c r="AE6">
        <f t="shared" si="11"/>
        <v>0.33</v>
      </c>
    </row>
    <row r="7" spans="1:31" x14ac:dyDescent="0.35">
      <c r="A7" s="4" t="s">
        <v>4</v>
      </c>
      <c r="B7" s="1" t="str">
        <f>rating_per_OD_pair!D11</f>
        <v>D</v>
      </c>
      <c r="C7" s="1" t="str">
        <f>rating_per_OD_pair!I11</f>
        <v>B</v>
      </c>
      <c r="D7" s="1" t="str">
        <f>rating_per_OD_pair!N11</f>
        <v>D</v>
      </c>
      <c r="E7" s="1" t="str">
        <f>rating_per_OD_pair!S11</f>
        <v>D</v>
      </c>
      <c r="F7" s="39">
        <f>rating_per_OD_pair!X11</f>
        <v>0</v>
      </c>
      <c r="G7" s="1" t="str">
        <f>rating_per_OD_pair!AC11</f>
        <v>C</v>
      </c>
      <c r="H7" s="1">
        <f>rating_per_OD_pair!AH11</f>
        <v>0</v>
      </c>
      <c r="I7" s="1">
        <f>rating_per_OD_pair!AM11</f>
        <v>0</v>
      </c>
      <c r="J7" s="22" t="str">
        <f>rating_per_OD_pair!AR11</f>
        <v>E</v>
      </c>
      <c r="K7" s="1" t="str">
        <f>rating_per_OD_pair!AV11</f>
        <v>E</v>
      </c>
      <c r="L7" s="1" t="str">
        <f>rating_per_OD_pair!BA11</f>
        <v>E</v>
      </c>
      <c r="M7" s="1" t="str">
        <f>rating_per_OD_pair!BF11</f>
        <v>E</v>
      </c>
      <c r="O7" s="47" t="s">
        <v>106</v>
      </c>
      <c r="P7" t="s">
        <v>31</v>
      </c>
      <c r="Q7">
        <v>1</v>
      </c>
      <c r="S7" s="4" t="s">
        <v>4</v>
      </c>
      <c r="T7">
        <f t="shared" si="0"/>
        <v>0.67</v>
      </c>
      <c r="U7">
        <f t="shared" si="1"/>
        <v>1.33</v>
      </c>
      <c r="V7">
        <f t="shared" si="2"/>
        <v>0.67</v>
      </c>
      <c r="W7">
        <f t="shared" si="3"/>
        <v>0.67</v>
      </c>
      <c r="X7">
        <f t="shared" si="4"/>
        <v>0</v>
      </c>
      <c r="Y7">
        <f t="shared" si="5"/>
        <v>1</v>
      </c>
      <c r="Z7">
        <f t="shared" si="6"/>
        <v>0</v>
      </c>
      <c r="AA7">
        <f t="shared" si="7"/>
        <v>0</v>
      </c>
      <c r="AB7">
        <f t="shared" si="8"/>
        <v>0.33</v>
      </c>
      <c r="AC7">
        <f t="shared" si="9"/>
        <v>0.33</v>
      </c>
      <c r="AD7">
        <f t="shared" si="10"/>
        <v>0.33</v>
      </c>
      <c r="AE7">
        <f t="shared" si="11"/>
        <v>0.33</v>
      </c>
    </row>
    <row r="8" spans="1:31" x14ac:dyDescent="0.35">
      <c r="A8" s="4" t="s">
        <v>5</v>
      </c>
      <c r="B8" s="1" t="str">
        <f>rating_per_OD_pair!D12</f>
        <v>A</v>
      </c>
      <c r="C8" s="1" t="str">
        <f>rating_per_OD_pair!I12</f>
        <v>D</v>
      </c>
      <c r="D8" s="1" t="str">
        <f>rating_per_OD_pair!N12</f>
        <v>D</v>
      </c>
      <c r="E8" s="1" t="str">
        <f>rating_per_OD_pair!S12</f>
        <v>D</v>
      </c>
      <c r="F8" s="22" t="str">
        <f>rating_per_OD_pair!X12</f>
        <v>D</v>
      </c>
      <c r="G8" s="1">
        <f>rating_per_OD_pair!AC12</f>
        <v>0</v>
      </c>
      <c r="H8" s="1" t="str">
        <f>rating_per_OD_pair!AH12</f>
        <v>D</v>
      </c>
      <c r="I8" s="1">
        <f>rating_per_OD_pair!AM12</f>
        <v>0</v>
      </c>
      <c r="J8" s="22" t="str">
        <f>rating_per_OD_pair!AR12</f>
        <v>E</v>
      </c>
      <c r="K8" s="1" t="str">
        <f>rating_per_OD_pair!AV12</f>
        <v>E</v>
      </c>
      <c r="L8" s="1" t="str">
        <f>rating_per_OD_pair!BA12</f>
        <v>E</v>
      </c>
      <c r="M8" s="1" t="str">
        <f>rating_per_OD_pair!BF12</f>
        <v>E</v>
      </c>
      <c r="O8" t="s">
        <v>28</v>
      </c>
      <c r="P8" t="s">
        <v>33</v>
      </c>
      <c r="Q8">
        <v>0.67</v>
      </c>
      <c r="S8" s="4" t="s">
        <v>5</v>
      </c>
      <c r="T8">
        <f t="shared" si="0"/>
        <v>1.67</v>
      </c>
      <c r="U8">
        <f t="shared" si="1"/>
        <v>0.67</v>
      </c>
      <c r="V8">
        <f t="shared" si="2"/>
        <v>0.67</v>
      </c>
      <c r="W8">
        <f t="shared" si="3"/>
        <v>0.67</v>
      </c>
      <c r="X8">
        <f t="shared" si="4"/>
        <v>0.67</v>
      </c>
      <c r="Y8">
        <f t="shared" si="5"/>
        <v>0</v>
      </c>
      <c r="Z8">
        <f t="shared" si="6"/>
        <v>0.67</v>
      </c>
      <c r="AA8">
        <f t="shared" si="7"/>
        <v>0</v>
      </c>
      <c r="AB8">
        <f t="shared" si="8"/>
        <v>0.33</v>
      </c>
      <c r="AC8">
        <f t="shared" si="9"/>
        <v>0.33</v>
      </c>
      <c r="AD8">
        <f t="shared" si="10"/>
        <v>0.33</v>
      </c>
      <c r="AE8">
        <f t="shared" si="11"/>
        <v>0.33</v>
      </c>
    </row>
    <row r="9" spans="1:31" x14ac:dyDescent="0.35">
      <c r="A9" s="4" t="s">
        <v>6</v>
      </c>
      <c r="B9" s="1" t="str">
        <f>rating_per_OD_pair!D13</f>
        <v>B</v>
      </c>
      <c r="C9" s="1">
        <f>rating_per_OD_pair!I13</f>
        <v>0</v>
      </c>
      <c r="D9" s="1">
        <f>rating_per_OD_pair!N13</f>
        <v>0</v>
      </c>
      <c r="E9" s="1">
        <f>rating_per_OD_pair!S13</f>
        <v>0</v>
      </c>
      <c r="F9" s="39">
        <f>rating_per_OD_pair!X13</f>
        <v>0</v>
      </c>
      <c r="G9" s="1" t="str">
        <f>rating_per_OD_pair!AC13</f>
        <v>A</v>
      </c>
      <c r="H9" s="1">
        <f>rating_per_OD_pair!AH13</f>
        <v>0</v>
      </c>
      <c r="I9" s="1">
        <f>rating_per_OD_pair!AM13</f>
        <v>0</v>
      </c>
      <c r="J9" s="39">
        <f>rating_per_OD_pair!AR13</f>
        <v>0</v>
      </c>
      <c r="K9" s="1">
        <f>rating_per_OD_pair!AV13</f>
        <v>0</v>
      </c>
      <c r="L9" s="1">
        <f>rating_per_OD_pair!BA13</f>
        <v>0</v>
      </c>
      <c r="M9" s="1">
        <f>rating_per_OD_pair!BF13</f>
        <v>0</v>
      </c>
      <c r="O9" s="46" t="s">
        <v>107</v>
      </c>
      <c r="P9" t="s">
        <v>34</v>
      </c>
      <c r="Q9">
        <v>0.33</v>
      </c>
      <c r="S9" s="4" t="s">
        <v>6</v>
      </c>
      <c r="T9">
        <f t="shared" si="0"/>
        <v>1.33</v>
      </c>
      <c r="U9">
        <f t="shared" si="1"/>
        <v>0</v>
      </c>
      <c r="V9">
        <f t="shared" si="2"/>
        <v>0</v>
      </c>
      <c r="W9">
        <f t="shared" si="3"/>
        <v>0</v>
      </c>
      <c r="X9">
        <f t="shared" si="4"/>
        <v>0</v>
      </c>
      <c r="Y9">
        <f t="shared" si="5"/>
        <v>1.67</v>
      </c>
      <c r="Z9">
        <f t="shared" si="6"/>
        <v>0</v>
      </c>
      <c r="AA9">
        <f t="shared" si="7"/>
        <v>0</v>
      </c>
      <c r="AB9">
        <f t="shared" si="8"/>
        <v>0</v>
      </c>
      <c r="AC9">
        <f t="shared" si="9"/>
        <v>0</v>
      </c>
      <c r="AD9">
        <f t="shared" si="10"/>
        <v>0</v>
      </c>
      <c r="AE9">
        <f t="shared" si="11"/>
        <v>0</v>
      </c>
    </row>
    <row r="10" spans="1:31" x14ac:dyDescent="0.35">
      <c r="A10" s="4" t="s">
        <v>7</v>
      </c>
      <c r="B10" s="1" t="str">
        <f>rating_per_OD_pair!D14</f>
        <v>E</v>
      </c>
      <c r="C10" s="1" t="str">
        <f>rating_per_OD_pair!I14</f>
        <v>E</v>
      </c>
      <c r="D10" s="1" t="str">
        <f>rating_per_OD_pair!N14</f>
        <v>C</v>
      </c>
      <c r="E10" s="1" t="str">
        <f>rating_per_OD_pair!S14</f>
        <v>D</v>
      </c>
      <c r="F10" s="39">
        <f>rating_per_OD_pair!X14</f>
        <v>0</v>
      </c>
      <c r="G10" s="1" t="str">
        <f>rating_per_OD_pair!AC14</f>
        <v>C</v>
      </c>
      <c r="H10" s="1" t="str">
        <f>rating_per_OD_pair!AH14</f>
        <v>C</v>
      </c>
      <c r="I10" s="1">
        <f>rating_per_OD_pair!AM14</f>
        <v>0</v>
      </c>
      <c r="J10" s="22" t="str">
        <f>rating_per_OD_pair!AR14</f>
        <v>E</v>
      </c>
      <c r="K10" s="1" t="str">
        <f>rating_per_OD_pair!AV14</f>
        <v>E</v>
      </c>
      <c r="L10" s="1" t="str">
        <f>rating_per_OD_pair!BA14</f>
        <v>E</v>
      </c>
      <c r="M10" s="1" t="str">
        <f>rating_per_OD_pair!BF14</f>
        <v>E</v>
      </c>
      <c r="O10" s="46" t="s">
        <v>108</v>
      </c>
      <c r="P10" t="s">
        <v>109</v>
      </c>
      <c r="Q10">
        <v>0</v>
      </c>
      <c r="S10" s="4" t="s">
        <v>7</v>
      </c>
      <c r="T10">
        <f t="shared" si="0"/>
        <v>0.33</v>
      </c>
      <c r="U10">
        <f t="shared" si="1"/>
        <v>0.33</v>
      </c>
      <c r="V10">
        <f t="shared" si="2"/>
        <v>1</v>
      </c>
      <c r="W10">
        <f t="shared" si="3"/>
        <v>0.67</v>
      </c>
      <c r="X10">
        <f t="shared" si="4"/>
        <v>0</v>
      </c>
      <c r="Y10">
        <f t="shared" si="5"/>
        <v>1</v>
      </c>
      <c r="Z10">
        <f t="shared" si="6"/>
        <v>1</v>
      </c>
      <c r="AA10">
        <f t="shared" si="7"/>
        <v>0</v>
      </c>
      <c r="AB10">
        <f t="shared" si="8"/>
        <v>0.33</v>
      </c>
      <c r="AC10">
        <f t="shared" si="9"/>
        <v>0.33</v>
      </c>
      <c r="AD10">
        <f t="shared" si="10"/>
        <v>0.33</v>
      </c>
      <c r="AE10">
        <f t="shared" si="11"/>
        <v>0.33</v>
      </c>
    </row>
    <row r="11" spans="1:31" x14ac:dyDescent="0.35">
      <c r="A11" s="4" t="s">
        <v>8</v>
      </c>
      <c r="B11" s="1" t="str">
        <f>rating_per_OD_pair!D15</f>
        <v>AAA</v>
      </c>
      <c r="C11" s="1">
        <f>rating_per_OD_pair!I15</f>
        <v>0</v>
      </c>
      <c r="D11" s="1">
        <f>rating_per_OD_pair!N15</f>
        <v>0</v>
      </c>
      <c r="E11" s="1">
        <f>rating_per_OD_pair!S15</f>
        <v>0</v>
      </c>
      <c r="F11" s="39">
        <f>rating_per_OD_pair!X15</f>
        <v>0</v>
      </c>
      <c r="G11" s="1">
        <f>rating_per_OD_pair!AC15</f>
        <v>0</v>
      </c>
      <c r="H11" s="1">
        <f>rating_per_OD_pair!AH15</f>
        <v>0</v>
      </c>
      <c r="I11" s="1">
        <f>rating_per_OD_pair!AM15</f>
        <v>0</v>
      </c>
      <c r="J11" s="39">
        <f>rating_per_OD_pair!AR15</f>
        <v>0</v>
      </c>
      <c r="K11" s="1">
        <f>rating_per_OD_pair!AV15</f>
        <v>0</v>
      </c>
      <c r="L11" s="1">
        <f>rating_per_OD_pair!BA15</f>
        <v>0</v>
      </c>
      <c r="M11" s="1">
        <f>rating_per_OD_pair!BF15</f>
        <v>0</v>
      </c>
      <c r="P11">
        <v>0</v>
      </c>
      <c r="Q11">
        <v>0</v>
      </c>
      <c r="S11" s="4" t="s">
        <v>8</v>
      </c>
      <c r="T11">
        <f t="shared" si="0"/>
        <v>2.33</v>
      </c>
      <c r="U11">
        <f t="shared" si="1"/>
        <v>0</v>
      </c>
      <c r="V11">
        <f t="shared" si="2"/>
        <v>0</v>
      </c>
      <c r="W11">
        <f t="shared" si="3"/>
        <v>0</v>
      </c>
      <c r="X11">
        <f t="shared" si="4"/>
        <v>0</v>
      </c>
      <c r="Y11">
        <f t="shared" si="5"/>
        <v>0</v>
      </c>
      <c r="Z11">
        <f t="shared" si="6"/>
        <v>0</v>
      </c>
      <c r="AA11">
        <f t="shared" si="7"/>
        <v>0</v>
      </c>
      <c r="AB11">
        <f t="shared" si="8"/>
        <v>0</v>
      </c>
      <c r="AC11">
        <f t="shared" si="9"/>
        <v>0</v>
      </c>
      <c r="AD11">
        <f t="shared" si="10"/>
        <v>0</v>
      </c>
      <c r="AE11">
        <f t="shared" si="11"/>
        <v>0</v>
      </c>
    </row>
    <row r="12" spans="1:31" x14ac:dyDescent="0.35">
      <c r="A12" s="4" t="s">
        <v>9</v>
      </c>
      <c r="B12" s="1" t="str">
        <f>rating_per_OD_pair!D16</f>
        <v>B</v>
      </c>
      <c r="C12" s="1" t="str">
        <f>rating_per_OD_pair!I16</f>
        <v>E</v>
      </c>
      <c r="D12" s="1" t="str">
        <f>rating_per_OD_pair!N16</f>
        <v>E</v>
      </c>
      <c r="E12" s="1" t="str">
        <f>rating_per_OD_pair!S16</f>
        <v>E</v>
      </c>
      <c r="F12" s="22" t="str">
        <f>rating_per_OD_pair!X16</f>
        <v>E</v>
      </c>
      <c r="G12" s="1" t="str">
        <f>rating_per_OD_pair!AC16</f>
        <v>E</v>
      </c>
      <c r="H12" s="1" t="str">
        <f>rating_per_OD_pair!AH16</f>
        <v>E</v>
      </c>
      <c r="I12" s="1" t="str">
        <f>rating_per_OD_pair!AM16</f>
        <v>E</v>
      </c>
      <c r="J12" s="22" t="str">
        <f>rating_per_OD_pair!AR16</f>
        <v>D</v>
      </c>
      <c r="K12" s="1">
        <f>rating_per_OD_pair!AV16</f>
        <v>0</v>
      </c>
      <c r="L12" s="1" t="str">
        <f>rating_per_OD_pair!BA16</f>
        <v>C</v>
      </c>
      <c r="M12" s="1" t="str">
        <f>rating_per_OD_pair!BF16</f>
        <v>C</v>
      </c>
      <c r="S12" s="4" t="s">
        <v>9</v>
      </c>
      <c r="T12">
        <f t="shared" si="0"/>
        <v>1.33</v>
      </c>
      <c r="U12">
        <f t="shared" si="1"/>
        <v>0.33</v>
      </c>
      <c r="V12">
        <f t="shared" si="2"/>
        <v>0.33</v>
      </c>
      <c r="W12">
        <f t="shared" si="3"/>
        <v>0.33</v>
      </c>
      <c r="X12">
        <f t="shared" si="4"/>
        <v>0.33</v>
      </c>
      <c r="Y12">
        <f t="shared" si="5"/>
        <v>0.33</v>
      </c>
      <c r="Z12">
        <f t="shared" si="6"/>
        <v>0.33</v>
      </c>
      <c r="AA12">
        <f t="shared" si="7"/>
        <v>0.33</v>
      </c>
      <c r="AB12">
        <f t="shared" si="8"/>
        <v>0.67</v>
      </c>
      <c r="AC12">
        <f t="shared" si="9"/>
        <v>0</v>
      </c>
      <c r="AD12">
        <f t="shared" si="10"/>
        <v>1</v>
      </c>
      <c r="AE12">
        <f t="shared" si="11"/>
        <v>1</v>
      </c>
    </row>
    <row r="13" spans="1:31" x14ac:dyDescent="0.35">
      <c r="A13" s="4" t="s">
        <v>10</v>
      </c>
      <c r="B13" s="1" t="str">
        <f>rating_per_OD_pair!D17</f>
        <v>B</v>
      </c>
      <c r="C13" s="1" t="str">
        <f>rating_per_OD_pair!I17</f>
        <v>E</v>
      </c>
      <c r="D13" s="1" t="str">
        <f>rating_per_OD_pair!N17</f>
        <v>E</v>
      </c>
      <c r="E13" s="1" t="str">
        <f>rating_per_OD_pair!S17</f>
        <v>E</v>
      </c>
      <c r="F13" s="22" t="str">
        <f>rating_per_OD_pair!X17</f>
        <v>E</v>
      </c>
      <c r="G13" s="1" t="str">
        <f>rating_per_OD_pair!AC17</f>
        <v>E</v>
      </c>
      <c r="H13" s="1" t="str">
        <f>rating_per_OD_pair!AH17</f>
        <v>E</v>
      </c>
      <c r="I13" s="1" t="str">
        <f>rating_per_OD_pair!AM17</f>
        <v>E</v>
      </c>
      <c r="J13" s="22" t="str">
        <f>rating_per_OD_pair!AR17</f>
        <v>B</v>
      </c>
      <c r="K13" s="1" t="str">
        <f>rating_per_OD_pair!AV17</f>
        <v>B</v>
      </c>
      <c r="L13" s="1">
        <f>rating_per_OD_pair!BA17</f>
        <v>0</v>
      </c>
      <c r="M13" s="1" t="str">
        <f>rating_per_OD_pair!BF17</f>
        <v>B</v>
      </c>
      <c r="S13" s="4" t="s">
        <v>10</v>
      </c>
      <c r="T13">
        <f t="shared" si="0"/>
        <v>1.33</v>
      </c>
      <c r="U13">
        <f t="shared" si="1"/>
        <v>0.33</v>
      </c>
      <c r="V13">
        <f t="shared" si="2"/>
        <v>0.33</v>
      </c>
      <c r="W13">
        <f t="shared" si="3"/>
        <v>0.33</v>
      </c>
      <c r="X13">
        <f t="shared" si="4"/>
        <v>0.33</v>
      </c>
      <c r="Y13">
        <f t="shared" si="5"/>
        <v>0.33</v>
      </c>
      <c r="Z13">
        <f t="shared" si="6"/>
        <v>0.33</v>
      </c>
      <c r="AA13">
        <f t="shared" si="7"/>
        <v>0.33</v>
      </c>
      <c r="AB13">
        <f t="shared" si="8"/>
        <v>1.33</v>
      </c>
      <c r="AC13">
        <f t="shared" si="9"/>
        <v>1.33</v>
      </c>
      <c r="AD13">
        <f t="shared" si="10"/>
        <v>0</v>
      </c>
      <c r="AE13">
        <f t="shared" si="11"/>
        <v>1.33</v>
      </c>
    </row>
    <row r="14" spans="1:31" x14ac:dyDescent="0.35">
      <c r="A14" s="4" t="s">
        <v>11</v>
      </c>
      <c r="B14" s="1" t="str">
        <f>rating_per_OD_pair!D18</f>
        <v>C</v>
      </c>
      <c r="C14" s="1" t="str">
        <f>rating_per_OD_pair!I18</f>
        <v>E</v>
      </c>
      <c r="D14" s="1" t="str">
        <f>rating_per_OD_pair!N18</f>
        <v>E</v>
      </c>
      <c r="E14" s="1" t="str">
        <f>rating_per_OD_pair!S18</f>
        <v>E</v>
      </c>
      <c r="F14" s="22" t="str">
        <f>rating_per_OD_pair!X18</f>
        <v>E</v>
      </c>
      <c r="G14" s="1" t="str">
        <f>rating_per_OD_pair!AC18</f>
        <v>E</v>
      </c>
      <c r="H14" s="1" t="str">
        <f>rating_per_OD_pair!AH18</f>
        <v>E</v>
      </c>
      <c r="I14" s="1" t="str">
        <f>rating_per_OD_pair!AM18</f>
        <v>E</v>
      </c>
      <c r="J14" s="22" t="str">
        <f>rating_per_OD_pair!AR18</f>
        <v>D</v>
      </c>
      <c r="K14" s="1" t="str">
        <f>rating_per_OD_pair!AV18</f>
        <v>C</v>
      </c>
      <c r="L14" s="1" t="str">
        <f>rating_per_OD_pair!BA18</f>
        <v>D</v>
      </c>
      <c r="M14" s="1">
        <f>rating_per_OD_pair!BF18</f>
        <v>0</v>
      </c>
      <c r="S14" s="4" t="s">
        <v>11</v>
      </c>
      <c r="T14">
        <f t="shared" ref="T14" si="12">VLOOKUP(B14, $P$3:$Q$11, 2, FALSE)</f>
        <v>1</v>
      </c>
      <c r="U14">
        <f t="shared" si="1"/>
        <v>0.33</v>
      </c>
      <c r="V14">
        <f t="shared" si="2"/>
        <v>0.33</v>
      </c>
      <c r="W14">
        <f t="shared" si="3"/>
        <v>0.33</v>
      </c>
      <c r="X14">
        <f t="shared" si="4"/>
        <v>0.33</v>
      </c>
      <c r="Y14">
        <f t="shared" si="5"/>
        <v>0.33</v>
      </c>
      <c r="Z14">
        <f t="shared" si="6"/>
        <v>0.33</v>
      </c>
      <c r="AA14">
        <f t="shared" si="7"/>
        <v>0.33</v>
      </c>
      <c r="AB14">
        <f t="shared" si="8"/>
        <v>0.67</v>
      </c>
      <c r="AC14">
        <f t="shared" si="9"/>
        <v>1</v>
      </c>
      <c r="AD14">
        <f t="shared" si="10"/>
        <v>0.67</v>
      </c>
      <c r="AE14">
        <f t="shared" si="11"/>
        <v>0</v>
      </c>
    </row>
    <row r="16" spans="1:31" x14ac:dyDescent="0.35">
      <c r="A16" s="1" t="s">
        <v>110</v>
      </c>
    </row>
    <row r="17" spans="1:24" x14ac:dyDescent="0.35">
      <c r="B17" s="2" t="s">
        <v>0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  <c r="I17" s="2" t="s">
        <v>7</v>
      </c>
      <c r="J17" s="2" t="s">
        <v>8</v>
      </c>
      <c r="K17" s="2" t="s">
        <v>9</v>
      </c>
      <c r="L17" s="2" t="s">
        <v>10</v>
      </c>
      <c r="M17" s="2" t="s">
        <v>11</v>
      </c>
    </row>
    <row r="18" spans="1:24" x14ac:dyDescent="0.35">
      <c r="A18" s="4" t="s">
        <v>0</v>
      </c>
      <c r="B18">
        <f>distinct_flight_paths_full!B3*VLOOKUP(B3, $P$3:$Q$11, 2, FALSE)</f>
        <v>0</v>
      </c>
      <c r="C18">
        <f>distinct_flight_paths_full!C3*VLOOKUP(C3, $P$3:$Q$11, 2, FALSE)</f>
        <v>10.02</v>
      </c>
      <c r="D18">
        <f>distinct_flight_paths_full!D3*VLOOKUP(D3, $P$3:$Q$11, 2, FALSE)</f>
        <v>3</v>
      </c>
      <c r="E18">
        <f>distinct_flight_paths_full!E3*VLOOKUP(E3, $P$3:$Q$11, 2, FALSE)</f>
        <v>4</v>
      </c>
      <c r="F18">
        <f>distinct_flight_paths_full!F3*VLOOKUP(F3, $P$3:$Q$11, 2, FALSE)</f>
        <v>2</v>
      </c>
      <c r="G18">
        <f>distinct_flight_paths_full!G3*VLOOKUP(G3, $P$3:$Q$11, 2, FALSE)</f>
        <v>5.01</v>
      </c>
      <c r="H18">
        <f>distinct_flight_paths_full!H3*VLOOKUP(H3, $P$3:$Q$11, 2, FALSE)</f>
        <v>1</v>
      </c>
      <c r="I18">
        <f>distinct_flight_paths_full!I3*VLOOKUP(I3, $P$3:$Q$11, 2, FALSE)</f>
        <v>1</v>
      </c>
      <c r="J18">
        <f>distinct_flight_paths_full!J3*VLOOKUP(J3, $P$3:$Q$11, 2, FALSE)</f>
        <v>1.67</v>
      </c>
      <c r="K18">
        <f>distinct_flight_paths_full!K3*VLOOKUP(K3, $P$3:$Q$11, 2, FALSE)</f>
        <v>6.68</v>
      </c>
      <c r="L18">
        <f>distinct_flight_paths_full!L3*VLOOKUP(L3, $P$3:$Q$11, 2, FALSE)</f>
        <v>6.68</v>
      </c>
      <c r="M18">
        <f>distinct_flight_paths_full!M3*VLOOKUP(M3, $P$3:$Q$11, 2, FALSE)</f>
        <v>5.01</v>
      </c>
    </row>
    <row r="19" spans="1:24" x14ac:dyDescent="0.35">
      <c r="A19" s="4" t="s">
        <v>1</v>
      </c>
      <c r="B19">
        <f>distinct_flight_paths_full!B4*VLOOKUP(B4, $P$3:$Q$11, 2, FALSE)</f>
        <v>10.02</v>
      </c>
      <c r="C19">
        <f>distinct_flight_paths_full!C4*VLOOKUP(C4, $P$3:$Q$11, 2, FALSE)</f>
        <v>0</v>
      </c>
      <c r="D19">
        <f>distinct_flight_paths_full!D4*VLOOKUP(D4, $P$3:$Q$11, 2, FALSE)</f>
        <v>5.01</v>
      </c>
      <c r="E19">
        <f>distinct_flight_paths_full!E4*VLOOKUP(E4, $P$3:$Q$11, 2, FALSE)</f>
        <v>5.32</v>
      </c>
      <c r="F19">
        <f>distinct_flight_paths_full!F4*VLOOKUP(F4, $P$3:$Q$11, 2, FALSE)</f>
        <v>3.34</v>
      </c>
      <c r="G19">
        <f>distinct_flight_paths_full!G4*VLOOKUP(G4, $P$3:$Q$11, 2, FALSE)</f>
        <v>5.01</v>
      </c>
      <c r="H19">
        <f>distinct_flight_paths_full!H4*VLOOKUP(H4, $P$3:$Q$11, 2, FALSE)</f>
        <v>1.33</v>
      </c>
      <c r="I19">
        <f>distinct_flight_paths_full!I4*VLOOKUP(I4, $P$3:$Q$11, 2, FALSE)</f>
        <v>1.67</v>
      </c>
      <c r="J19">
        <f>distinct_flight_paths_full!J4*VLOOKUP(J4, $P$3:$Q$11, 2, FALSE)</f>
        <v>0.33</v>
      </c>
      <c r="K19">
        <f>distinct_flight_paths_full!K4*VLOOKUP(K4, $P$3:$Q$11, 2, FALSE)</f>
        <v>0.66</v>
      </c>
      <c r="L19">
        <f>distinct_flight_paths_full!L4*VLOOKUP(L4, $P$3:$Q$11, 2, FALSE)</f>
        <v>0.99</v>
      </c>
      <c r="M19">
        <f>distinct_flight_paths_full!M4*VLOOKUP(M4, $P$3:$Q$11, 2, FALSE)</f>
        <v>0.66</v>
      </c>
      <c r="X19" s="24" t="s">
        <v>0</v>
      </c>
    </row>
    <row r="20" spans="1:24" x14ac:dyDescent="0.35">
      <c r="A20" s="4" t="s">
        <v>2</v>
      </c>
      <c r="B20">
        <f>distinct_flight_paths_full!B5*VLOOKUP(B5, $P$3:$Q$11, 2, FALSE)</f>
        <v>3</v>
      </c>
      <c r="C20">
        <f>distinct_flight_paths_full!C5*VLOOKUP(C5, $P$3:$Q$11, 2, FALSE)</f>
        <v>3.99</v>
      </c>
      <c r="D20">
        <f>distinct_flight_paths_full!D5*VLOOKUP(D5, $P$3:$Q$11, 2, FALSE)</f>
        <v>0</v>
      </c>
      <c r="E20">
        <f>distinct_flight_paths_full!E5*VLOOKUP(E5, $P$3:$Q$11, 2, FALSE)</f>
        <v>2</v>
      </c>
      <c r="F20">
        <f>distinct_flight_paths_full!F5*VLOOKUP(F5, $P$3:$Q$11, 2, FALSE)</f>
        <v>1</v>
      </c>
      <c r="G20">
        <f>distinct_flight_paths_full!G5*VLOOKUP(G5, $P$3:$Q$11, 2, FALSE)</f>
        <v>2</v>
      </c>
      <c r="H20">
        <f>distinct_flight_paths_full!H5*VLOOKUP(H5, $P$3:$Q$11, 2, FALSE)</f>
        <v>1</v>
      </c>
      <c r="I20">
        <f>distinct_flight_paths_full!I5*VLOOKUP(I5, $P$3:$Q$11, 2, FALSE)</f>
        <v>1</v>
      </c>
      <c r="J20">
        <f>distinct_flight_paths_full!J5*VLOOKUP(J5, $P$3:$Q$11, 2, FALSE)</f>
        <v>0.33</v>
      </c>
      <c r="K20">
        <f>distinct_flight_paths_full!K5*VLOOKUP(K5, $P$3:$Q$11, 2, FALSE)</f>
        <v>0.66</v>
      </c>
      <c r="L20">
        <f>distinct_flight_paths_full!L5*VLOOKUP(L5, $P$3:$Q$11, 2, FALSE)</f>
        <v>0.66</v>
      </c>
      <c r="M20">
        <f>distinct_flight_paths_full!M5*VLOOKUP(M5, $P$3:$Q$11, 2, FALSE)</f>
        <v>0.66</v>
      </c>
      <c r="X20" s="24" t="s">
        <v>1</v>
      </c>
    </row>
    <row r="21" spans="1:24" x14ac:dyDescent="0.35">
      <c r="A21" s="4" t="s">
        <v>3</v>
      </c>
      <c r="B21">
        <f>distinct_flight_paths_full!B6*VLOOKUP(B6, $P$3:$Q$11, 2, FALSE)</f>
        <v>2.68</v>
      </c>
      <c r="C21">
        <f>distinct_flight_paths_full!C6*VLOOKUP(C6, $P$3:$Q$11, 2, FALSE)</f>
        <v>0.99</v>
      </c>
      <c r="D21">
        <f>distinct_flight_paths_full!D6*VLOOKUP(D6, $P$3:$Q$11, 2, FALSE)</f>
        <v>1.34</v>
      </c>
      <c r="E21">
        <f>distinct_flight_paths_full!E6*VLOOKUP(E6, $P$3:$Q$11, 2, FALSE)</f>
        <v>0</v>
      </c>
      <c r="F21">
        <f>distinct_flight_paths_full!F6*VLOOKUP(F6, $P$3:$Q$11, 2, FALSE)</f>
        <v>2</v>
      </c>
      <c r="G21">
        <f>distinct_flight_paths_full!G6*VLOOKUP(G6, $P$3:$Q$11, 2, FALSE)</f>
        <v>3</v>
      </c>
      <c r="H21">
        <f>distinct_flight_paths_full!H6*VLOOKUP(H6, $P$3:$Q$11, 2, FALSE)</f>
        <v>1</v>
      </c>
      <c r="I21">
        <f>distinct_flight_paths_full!I6*VLOOKUP(I6, $P$3:$Q$11, 2, FALSE)</f>
        <v>1</v>
      </c>
      <c r="J21">
        <f>distinct_flight_paths_full!J6*VLOOKUP(J6, $P$3:$Q$11, 2, FALSE)</f>
        <v>0.33</v>
      </c>
      <c r="K21">
        <f>distinct_flight_paths_full!K6*VLOOKUP(K6, $P$3:$Q$11, 2, FALSE)</f>
        <v>0.66</v>
      </c>
      <c r="L21">
        <f>distinct_flight_paths_full!L6*VLOOKUP(L6, $P$3:$Q$11, 2, FALSE)</f>
        <v>0.99</v>
      </c>
      <c r="M21">
        <f>distinct_flight_paths_full!M6*VLOOKUP(M6, $P$3:$Q$11, 2, FALSE)</f>
        <v>0.66</v>
      </c>
      <c r="X21" s="24" t="s">
        <v>2</v>
      </c>
    </row>
    <row r="22" spans="1:24" x14ac:dyDescent="0.35">
      <c r="A22" s="4" t="s">
        <v>4</v>
      </c>
      <c r="B22">
        <f>distinct_flight_paths_full!B7*VLOOKUP(B7, $P$3:$Q$11, 2, FALSE)</f>
        <v>1.34</v>
      </c>
      <c r="C22">
        <f>distinct_flight_paths_full!C7*VLOOKUP(C7, $P$3:$Q$11, 2, FALSE)</f>
        <v>2.66</v>
      </c>
      <c r="D22">
        <f>distinct_flight_paths_full!D7*VLOOKUP(D7, $P$3:$Q$11, 2, FALSE)</f>
        <v>1.34</v>
      </c>
      <c r="E22">
        <f>distinct_flight_paths_full!E7*VLOOKUP(E7, $P$3:$Q$11, 2, FALSE)</f>
        <v>0.67</v>
      </c>
      <c r="F22">
        <f>distinct_flight_paths_full!F7*VLOOKUP(F7, $P$3:$Q$11, 2, FALSE)</f>
        <v>0</v>
      </c>
      <c r="G22">
        <f>distinct_flight_paths_full!G7*VLOOKUP(G7, $P$3:$Q$11, 2, FALSE)</f>
        <v>2</v>
      </c>
      <c r="H22">
        <f>distinct_flight_paths_full!H7*VLOOKUP(H7, $P$3:$Q$11, 2, FALSE)</f>
        <v>0</v>
      </c>
      <c r="I22">
        <f>distinct_flight_paths_full!I7*VLOOKUP(I7, $P$3:$Q$11, 2, FALSE)</f>
        <v>0</v>
      </c>
      <c r="J22">
        <f>distinct_flight_paths_full!J7*VLOOKUP(J7, $P$3:$Q$11, 2, FALSE)</f>
        <v>0.33</v>
      </c>
      <c r="K22">
        <f>distinct_flight_paths_full!K7*VLOOKUP(K7, $P$3:$Q$11, 2, FALSE)</f>
        <v>0.66</v>
      </c>
      <c r="L22">
        <f>distinct_flight_paths_full!L7*VLOOKUP(L7, $P$3:$Q$11, 2, FALSE)</f>
        <v>0.66</v>
      </c>
      <c r="M22">
        <f>distinct_flight_paths_full!M7*VLOOKUP(M7, $P$3:$Q$11, 2, FALSE)</f>
        <v>0.66</v>
      </c>
      <c r="X22" s="24" t="s">
        <v>3</v>
      </c>
    </row>
    <row r="23" spans="1:24" x14ac:dyDescent="0.35">
      <c r="A23" s="4" t="s">
        <v>5</v>
      </c>
      <c r="B23">
        <f>distinct_flight_paths_full!B8*VLOOKUP(B8, $P$3:$Q$11, 2, FALSE)</f>
        <v>5.01</v>
      </c>
      <c r="C23">
        <f>distinct_flight_paths_full!C8*VLOOKUP(C8, $P$3:$Q$11, 2, FALSE)</f>
        <v>1.34</v>
      </c>
      <c r="D23">
        <f>distinct_flight_paths_full!D8*VLOOKUP(D8, $P$3:$Q$11, 2, FALSE)</f>
        <v>1.34</v>
      </c>
      <c r="E23">
        <f>distinct_flight_paths_full!E8*VLOOKUP(E8, $P$3:$Q$11, 2, FALSE)</f>
        <v>1.34</v>
      </c>
      <c r="F23">
        <f>distinct_flight_paths_full!F8*VLOOKUP(F8, $P$3:$Q$11, 2, FALSE)</f>
        <v>0.67</v>
      </c>
      <c r="G23">
        <f>distinct_flight_paths_full!G8*VLOOKUP(G8, $P$3:$Q$11, 2, FALSE)</f>
        <v>0</v>
      </c>
      <c r="H23">
        <f>distinct_flight_paths_full!H8*VLOOKUP(H8, $P$3:$Q$11, 2, FALSE)</f>
        <v>0.67</v>
      </c>
      <c r="I23">
        <f>distinct_flight_paths_full!I8*VLOOKUP(I8, $P$3:$Q$11, 2, FALSE)</f>
        <v>0</v>
      </c>
      <c r="J23">
        <f>distinct_flight_paths_full!J8*VLOOKUP(J8, $P$3:$Q$11, 2, FALSE)</f>
        <v>0.33</v>
      </c>
      <c r="K23">
        <f>distinct_flight_paths_full!K8*VLOOKUP(K8, $P$3:$Q$11, 2, FALSE)</f>
        <v>0.66</v>
      </c>
      <c r="L23">
        <f>distinct_flight_paths_full!L8*VLOOKUP(L8, $P$3:$Q$11, 2, FALSE)</f>
        <v>0.66</v>
      </c>
      <c r="M23">
        <f>distinct_flight_paths_full!M8*VLOOKUP(M8, $P$3:$Q$11, 2, FALSE)</f>
        <v>0.66</v>
      </c>
      <c r="X23" s="24" t="s">
        <v>4</v>
      </c>
    </row>
    <row r="24" spans="1:24" x14ac:dyDescent="0.35">
      <c r="A24" s="4" t="s">
        <v>6</v>
      </c>
      <c r="B24">
        <f>distinct_flight_paths_full!B9*VLOOKUP(B9, $P$3:$Q$11, 2, FALSE)</f>
        <v>1.33</v>
      </c>
      <c r="C24">
        <f>distinct_flight_paths_full!C9*VLOOKUP(C9, $P$3:$Q$11, 2, FALSE)</f>
        <v>0</v>
      </c>
      <c r="D24">
        <f>distinct_flight_paths_full!D9*VLOOKUP(D9, $P$3:$Q$11, 2, FALSE)</f>
        <v>0</v>
      </c>
      <c r="E24">
        <f>distinct_flight_paths_full!E9*VLOOKUP(E9, $P$3:$Q$11, 2, FALSE)</f>
        <v>0</v>
      </c>
      <c r="F24">
        <f>distinct_flight_paths_full!F9*VLOOKUP(F9, $P$3:$Q$11, 2, FALSE)</f>
        <v>0</v>
      </c>
      <c r="G24">
        <f>distinct_flight_paths_full!G9*VLOOKUP(G9, $P$3:$Q$11, 2, FALSE)</f>
        <v>1.67</v>
      </c>
      <c r="H24">
        <f>distinct_flight_paths_full!H9*VLOOKUP(H9, $P$3:$Q$11, 2, FALSE)</f>
        <v>0</v>
      </c>
      <c r="I24">
        <f>distinct_flight_paths_full!I9*VLOOKUP(I9, $P$3:$Q$11, 2, FALSE)</f>
        <v>0</v>
      </c>
      <c r="J24">
        <f>distinct_flight_paths_full!J9*VLOOKUP(J9, $P$3:$Q$11, 2, FALSE)</f>
        <v>0</v>
      </c>
      <c r="K24">
        <f>distinct_flight_paths_full!K9*VLOOKUP(K9, $P$3:$Q$11, 2, FALSE)</f>
        <v>0</v>
      </c>
      <c r="L24">
        <f>distinct_flight_paths_full!L9*VLOOKUP(L9, $P$3:$Q$11, 2, FALSE)</f>
        <v>0</v>
      </c>
      <c r="M24">
        <f>distinct_flight_paths_full!M9*VLOOKUP(M9, $P$3:$Q$11, 2, FALSE)</f>
        <v>0</v>
      </c>
      <c r="X24" s="24" t="s">
        <v>5</v>
      </c>
    </row>
    <row r="25" spans="1:24" x14ac:dyDescent="0.35">
      <c r="A25" s="4" t="s">
        <v>7</v>
      </c>
      <c r="B25">
        <f>distinct_flight_paths_full!B10*VLOOKUP(B10, $P$3:$Q$11, 2, FALSE)</f>
        <v>0.33</v>
      </c>
      <c r="C25">
        <f>distinct_flight_paths_full!C10*VLOOKUP(C10, $P$3:$Q$11, 2, FALSE)</f>
        <v>0.33</v>
      </c>
      <c r="D25">
        <f>distinct_flight_paths_full!D10*VLOOKUP(D10, $P$3:$Q$11, 2, FALSE)</f>
        <v>1</v>
      </c>
      <c r="E25">
        <f>distinct_flight_paths_full!E10*VLOOKUP(E10, $P$3:$Q$11, 2, FALSE)</f>
        <v>0.67</v>
      </c>
      <c r="F25">
        <f>distinct_flight_paths_full!F10*VLOOKUP(F10, $P$3:$Q$11, 2, FALSE)</f>
        <v>0</v>
      </c>
      <c r="G25">
        <f>distinct_flight_paths_full!G10*VLOOKUP(G10, $P$3:$Q$11, 2, FALSE)</f>
        <v>1</v>
      </c>
      <c r="H25">
        <f>distinct_flight_paths_full!H10*VLOOKUP(H10, $P$3:$Q$11, 2, FALSE)</f>
        <v>1</v>
      </c>
      <c r="I25">
        <f>distinct_flight_paths_full!I10*VLOOKUP(I10, $P$3:$Q$11, 2, FALSE)</f>
        <v>0</v>
      </c>
      <c r="J25">
        <f>distinct_flight_paths_full!J10*VLOOKUP(J10, $P$3:$Q$11, 2, FALSE)</f>
        <v>0.33</v>
      </c>
      <c r="K25">
        <f>distinct_flight_paths_full!K10*VLOOKUP(K10, $P$3:$Q$11, 2, FALSE)</f>
        <v>0.33</v>
      </c>
      <c r="L25">
        <f>distinct_flight_paths_full!L10*VLOOKUP(L10, $P$3:$Q$11, 2, FALSE)</f>
        <v>0.33</v>
      </c>
      <c r="M25">
        <f>distinct_flight_paths_full!M10*VLOOKUP(M10, $P$3:$Q$11, 2, FALSE)</f>
        <v>0.33</v>
      </c>
      <c r="X25" s="24" t="s">
        <v>6</v>
      </c>
    </row>
    <row r="26" spans="1:24" x14ac:dyDescent="0.35">
      <c r="A26" s="4" t="s">
        <v>8</v>
      </c>
      <c r="B26">
        <f>distinct_flight_paths_full!B11*VLOOKUP(B11, $P$3:$Q$11, 2, FALSE)</f>
        <v>2.33</v>
      </c>
      <c r="C26">
        <f>distinct_flight_paths_full!C11*VLOOKUP(C11, $P$3:$Q$11, 2, FALSE)</f>
        <v>0</v>
      </c>
      <c r="D26">
        <f>distinct_flight_paths_full!D11*VLOOKUP(D11, $P$3:$Q$11, 2, FALSE)</f>
        <v>0</v>
      </c>
      <c r="E26">
        <f>distinct_flight_paths_full!E11*VLOOKUP(E11, $P$3:$Q$11, 2, FALSE)</f>
        <v>0</v>
      </c>
      <c r="F26">
        <f>distinct_flight_paths_full!F11*VLOOKUP(F11, $P$3:$Q$11, 2, FALSE)</f>
        <v>0</v>
      </c>
      <c r="G26">
        <f>distinct_flight_paths_full!G11*VLOOKUP(G11, $P$3:$Q$11, 2, FALSE)</f>
        <v>0</v>
      </c>
      <c r="H26">
        <f>distinct_flight_paths_full!H11*VLOOKUP(H11, $P$3:$Q$11, 2, FALSE)</f>
        <v>0</v>
      </c>
      <c r="I26">
        <f>distinct_flight_paths_full!I11*VLOOKUP(I11, $P$3:$Q$11, 2, FALSE)</f>
        <v>0</v>
      </c>
      <c r="J26">
        <f>distinct_flight_paths_full!J11*VLOOKUP(J11, $P$3:$Q$11, 2, FALSE)</f>
        <v>0</v>
      </c>
      <c r="K26">
        <f>distinct_flight_paths_full!K11*VLOOKUP(K11, $P$3:$Q$11, 2, FALSE)</f>
        <v>0</v>
      </c>
      <c r="L26">
        <f>distinct_flight_paths_full!L11*VLOOKUP(L11, $P$3:$Q$11, 2, FALSE)</f>
        <v>0</v>
      </c>
      <c r="M26">
        <f>distinct_flight_paths_full!M11*VLOOKUP(M11, $P$3:$Q$11, 2, FALSE)</f>
        <v>0</v>
      </c>
      <c r="X26" s="24" t="s">
        <v>7</v>
      </c>
    </row>
    <row r="27" spans="1:24" x14ac:dyDescent="0.35">
      <c r="A27" s="4" t="s">
        <v>9</v>
      </c>
      <c r="B27">
        <f>distinct_flight_paths_full!B12*VLOOKUP(B12, $P$3:$Q$11, 2, FALSE)</f>
        <v>5.32</v>
      </c>
      <c r="C27">
        <f>distinct_flight_paths_full!C12*VLOOKUP(C12, $P$3:$Q$11, 2, FALSE)</f>
        <v>0.99</v>
      </c>
      <c r="D27">
        <f>distinct_flight_paths_full!D12*VLOOKUP(D12, $P$3:$Q$11, 2, FALSE)</f>
        <v>0.99</v>
      </c>
      <c r="E27">
        <f>distinct_flight_paths_full!E12*VLOOKUP(E12, $P$3:$Q$11, 2, FALSE)</f>
        <v>0.99</v>
      </c>
      <c r="F27">
        <f>distinct_flight_paths_full!F12*VLOOKUP(F12, $P$3:$Q$11, 2, FALSE)</f>
        <v>0.33</v>
      </c>
      <c r="G27">
        <f>distinct_flight_paths_full!G12*VLOOKUP(G12, $P$3:$Q$11, 2, FALSE)</f>
        <v>0.66</v>
      </c>
      <c r="H27">
        <f>distinct_flight_paths_full!H12*VLOOKUP(H12, $P$3:$Q$11, 2, FALSE)</f>
        <v>0.33</v>
      </c>
      <c r="I27">
        <f>distinct_flight_paths_full!I12*VLOOKUP(I12, $P$3:$Q$11, 2, FALSE)</f>
        <v>0.33</v>
      </c>
      <c r="J27">
        <f>distinct_flight_paths_full!J12*VLOOKUP(J12, $P$3:$Q$11, 2, FALSE)</f>
        <v>0.67</v>
      </c>
      <c r="K27">
        <f>distinct_flight_paths_full!K12*VLOOKUP(K12, $P$3:$Q$11, 2, FALSE)</f>
        <v>0</v>
      </c>
      <c r="L27">
        <f>distinct_flight_paths_full!L12*VLOOKUP(L12, $P$3:$Q$11, 2, FALSE)</f>
        <v>3</v>
      </c>
      <c r="M27">
        <f>distinct_flight_paths_full!M12*VLOOKUP(M12, $P$3:$Q$11, 2, FALSE)</f>
        <v>2</v>
      </c>
      <c r="X27" s="24" t="s">
        <v>8</v>
      </c>
    </row>
    <row r="28" spans="1:24" x14ac:dyDescent="0.35">
      <c r="A28" s="4" t="s">
        <v>10</v>
      </c>
      <c r="B28">
        <f>distinct_flight_paths_full!B13*VLOOKUP(B13, $P$3:$Q$11, 2, FALSE)</f>
        <v>6.65</v>
      </c>
      <c r="C28">
        <f>distinct_flight_paths_full!C13*VLOOKUP(C13, $P$3:$Q$11, 2, FALSE)</f>
        <v>0.99</v>
      </c>
      <c r="D28">
        <f>distinct_flight_paths_full!D13*VLOOKUP(D13, $P$3:$Q$11, 2, FALSE)</f>
        <v>0.99</v>
      </c>
      <c r="E28">
        <f>distinct_flight_paths_full!E13*VLOOKUP(E13, $P$3:$Q$11, 2, FALSE)</f>
        <v>0.99</v>
      </c>
      <c r="F28">
        <f>distinct_flight_paths_full!F13*VLOOKUP(F13, $P$3:$Q$11, 2, FALSE)</f>
        <v>0.33</v>
      </c>
      <c r="G28">
        <f>distinct_flight_paths_full!G13*VLOOKUP(G13, $P$3:$Q$11, 2, FALSE)</f>
        <v>0.66</v>
      </c>
      <c r="H28">
        <f>distinct_flight_paths_full!H13*VLOOKUP(H13, $P$3:$Q$11, 2, FALSE)</f>
        <v>0.33</v>
      </c>
      <c r="I28">
        <f>distinct_flight_paths_full!I13*VLOOKUP(I13, $P$3:$Q$11, 2, FALSE)</f>
        <v>0.33</v>
      </c>
      <c r="J28">
        <f>distinct_flight_paths_full!J13*VLOOKUP(J13, $P$3:$Q$11, 2, FALSE)</f>
        <v>1.33</v>
      </c>
      <c r="K28">
        <f>distinct_flight_paths_full!K13*VLOOKUP(K13, $P$3:$Q$11, 2, FALSE)</f>
        <v>5.32</v>
      </c>
      <c r="L28">
        <f>distinct_flight_paths_full!L13*VLOOKUP(L13, $P$3:$Q$11, 2, FALSE)</f>
        <v>0</v>
      </c>
      <c r="M28">
        <f>distinct_flight_paths_full!M13*VLOOKUP(M13, $P$3:$Q$11, 2, FALSE)</f>
        <v>3.99</v>
      </c>
      <c r="X28" s="24" t="s">
        <v>9</v>
      </c>
    </row>
    <row r="29" spans="1:24" x14ac:dyDescent="0.35">
      <c r="A29" s="4" t="s">
        <v>11</v>
      </c>
      <c r="B29">
        <f>distinct_flight_paths_full!B14*VLOOKUP(B14, $P$3:$Q$11, 2, FALSE)</f>
        <v>3</v>
      </c>
      <c r="C29">
        <f>distinct_flight_paths_full!C14*VLOOKUP(C14, $P$3:$Q$11, 2, FALSE)</f>
        <v>0.66</v>
      </c>
      <c r="D29">
        <f>distinct_flight_paths_full!D14*VLOOKUP(D14, $P$3:$Q$11, 2, FALSE)</f>
        <v>0.66</v>
      </c>
      <c r="E29">
        <f>distinct_flight_paths_full!E14*VLOOKUP(E14, $P$3:$Q$11, 2, FALSE)</f>
        <v>0.66</v>
      </c>
      <c r="F29">
        <f>distinct_flight_paths_full!F14*VLOOKUP(F14, $P$3:$Q$11, 2, FALSE)</f>
        <v>0.33</v>
      </c>
      <c r="G29">
        <f>distinct_flight_paths_full!G14*VLOOKUP(G14, $P$3:$Q$11, 2, FALSE)</f>
        <v>0.66</v>
      </c>
      <c r="H29">
        <f>distinct_flight_paths_full!H14*VLOOKUP(H14, $P$3:$Q$11, 2, FALSE)</f>
        <v>0.33</v>
      </c>
      <c r="I29">
        <f>distinct_flight_paths_full!I14*VLOOKUP(I14, $P$3:$Q$11, 2, FALSE)</f>
        <v>0.33</v>
      </c>
      <c r="J29">
        <f>distinct_flight_paths_full!J14*VLOOKUP(J14, $P$3:$Q$11, 2, FALSE)</f>
        <v>0.67</v>
      </c>
      <c r="K29">
        <f>distinct_flight_paths_full!K14*VLOOKUP(K14, $P$3:$Q$11, 2, FALSE)</f>
        <v>3</v>
      </c>
      <c r="L29">
        <f>distinct_flight_paths_full!L14*VLOOKUP(L14, $P$3:$Q$11, 2, FALSE)</f>
        <v>1.34</v>
      </c>
      <c r="M29">
        <f>distinct_flight_paths_full!M14*VLOOKUP(M14, $P$3:$Q$11, 2, FALSE)</f>
        <v>0</v>
      </c>
      <c r="X29" s="24" t="s">
        <v>10</v>
      </c>
    </row>
    <row r="30" spans="1:24" x14ac:dyDescent="0.35">
      <c r="A30" s="11" t="s">
        <v>111</v>
      </c>
      <c r="B30" s="11">
        <f>SUM(B18:B29)</f>
        <v>41.009999999999991</v>
      </c>
      <c r="C30" s="11">
        <f t="shared" ref="C30:M30" si="13">SUM(C18:C29)</f>
        <v>21.969999999999995</v>
      </c>
      <c r="D30" s="11">
        <f t="shared" si="13"/>
        <v>15.67</v>
      </c>
      <c r="E30" s="11">
        <f t="shared" si="13"/>
        <v>16.64</v>
      </c>
      <c r="F30" s="11">
        <f t="shared" si="13"/>
        <v>10</v>
      </c>
      <c r="G30" s="11">
        <f t="shared" si="13"/>
        <v>21.669999999999998</v>
      </c>
      <c r="H30" s="11">
        <f t="shared" si="13"/>
        <v>6.99</v>
      </c>
      <c r="I30" s="11">
        <f t="shared" si="13"/>
        <v>5.66</v>
      </c>
      <c r="J30" s="11">
        <f t="shared" si="13"/>
        <v>6.32</v>
      </c>
      <c r="K30" s="11">
        <f t="shared" si="13"/>
        <v>18.630000000000003</v>
      </c>
      <c r="L30" s="11">
        <f t="shared" si="13"/>
        <v>15.31</v>
      </c>
      <c r="M30" s="11">
        <f t="shared" si="13"/>
        <v>14.63</v>
      </c>
      <c r="X30" s="24" t="s">
        <v>11</v>
      </c>
    </row>
    <row r="32" spans="1:24" x14ac:dyDescent="0.35">
      <c r="A32" s="1" t="s">
        <v>112</v>
      </c>
    </row>
    <row r="33" spans="1:26" x14ac:dyDescent="0.35">
      <c r="B33" s="2" t="s">
        <v>0</v>
      </c>
      <c r="C33" s="2" t="s">
        <v>1</v>
      </c>
      <c r="D33" s="2" t="s">
        <v>2</v>
      </c>
      <c r="E33" s="2" t="s">
        <v>3</v>
      </c>
      <c r="F33" s="2" t="s">
        <v>4</v>
      </c>
      <c r="G33" s="2" t="s">
        <v>5</v>
      </c>
      <c r="H33" s="2" t="s">
        <v>6</v>
      </c>
      <c r="I33" s="2" t="s">
        <v>7</v>
      </c>
      <c r="J33" s="2" t="s">
        <v>8</v>
      </c>
      <c r="K33" s="2" t="s">
        <v>9</v>
      </c>
      <c r="L33" s="2" t="s">
        <v>10</v>
      </c>
      <c r="M33" s="2" t="s">
        <v>11</v>
      </c>
    </row>
    <row r="34" spans="1:26" x14ac:dyDescent="0.35">
      <c r="A34" s="4" t="s">
        <v>0</v>
      </c>
      <c r="B34">
        <f>B18/B$30</f>
        <v>0</v>
      </c>
      <c r="C34">
        <f t="shared" ref="C34:M34" si="14">C18/C$30</f>
        <v>0.45607646791078754</v>
      </c>
      <c r="D34">
        <f t="shared" si="14"/>
        <v>0.19144862795149969</v>
      </c>
      <c r="E34">
        <f t="shared" si="14"/>
        <v>0.24038461538461536</v>
      </c>
      <c r="F34">
        <f t="shared" si="14"/>
        <v>0.2</v>
      </c>
      <c r="G34">
        <f t="shared" si="14"/>
        <v>0.23119520073834796</v>
      </c>
      <c r="H34">
        <f t="shared" si="14"/>
        <v>0.14306151645207438</v>
      </c>
      <c r="I34">
        <f t="shared" si="14"/>
        <v>0.17667844522968199</v>
      </c>
      <c r="J34">
        <f t="shared" si="14"/>
        <v>0.26424050632911389</v>
      </c>
      <c r="K34">
        <f t="shared" si="14"/>
        <v>0.3585614600107353</v>
      </c>
      <c r="L34">
        <f t="shared" si="14"/>
        <v>0.43631613324624424</v>
      </c>
      <c r="M34">
        <f t="shared" si="14"/>
        <v>0.34244702665755294</v>
      </c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spans="1:26" x14ac:dyDescent="0.35">
      <c r="A35" s="4" t="s">
        <v>1</v>
      </c>
      <c r="B35">
        <f>B19/B$30</f>
        <v>0.24433065106071694</v>
      </c>
      <c r="C35">
        <f t="shared" ref="B35:M45" si="15">C19/C$30</f>
        <v>0</v>
      </c>
      <c r="D35">
        <f t="shared" si="15"/>
        <v>0.31971920867900444</v>
      </c>
      <c r="E35">
        <f t="shared" si="15"/>
        <v>0.31971153846153849</v>
      </c>
      <c r="F35">
        <f t="shared" si="15"/>
        <v>0.33399999999999996</v>
      </c>
      <c r="G35">
        <f t="shared" si="15"/>
        <v>0.23119520073834796</v>
      </c>
      <c r="H35">
        <f t="shared" si="15"/>
        <v>0.19027181688125894</v>
      </c>
      <c r="I35">
        <f t="shared" si="15"/>
        <v>0.29505300353356889</v>
      </c>
      <c r="J35">
        <f t="shared" si="15"/>
        <v>5.2215189873417722E-2</v>
      </c>
      <c r="K35">
        <f t="shared" si="15"/>
        <v>3.542673107890499E-2</v>
      </c>
      <c r="L35">
        <f t="shared" si="15"/>
        <v>6.4663618549967342E-2</v>
      </c>
      <c r="M35">
        <f t="shared" si="15"/>
        <v>4.5112781954887216E-2</v>
      </c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spans="1:26" x14ac:dyDescent="0.35">
      <c r="A36" s="4" t="s">
        <v>2</v>
      </c>
      <c r="B36">
        <f t="shared" si="15"/>
        <v>7.3152889539136817E-2</v>
      </c>
      <c r="C36">
        <f t="shared" si="15"/>
        <v>0.18161128812016392</v>
      </c>
      <c r="D36">
        <f t="shared" si="15"/>
        <v>0</v>
      </c>
      <c r="E36">
        <f t="shared" si="15"/>
        <v>0.12019230769230768</v>
      </c>
      <c r="F36">
        <f t="shared" si="15"/>
        <v>0.1</v>
      </c>
      <c r="G36">
        <f t="shared" si="15"/>
        <v>9.2293493308721747E-2</v>
      </c>
      <c r="H36">
        <f t="shared" si="15"/>
        <v>0.14306151645207438</v>
      </c>
      <c r="I36">
        <f t="shared" si="15"/>
        <v>0.17667844522968199</v>
      </c>
      <c r="J36">
        <f t="shared" si="15"/>
        <v>5.2215189873417722E-2</v>
      </c>
      <c r="K36">
        <f t="shared" si="15"/>
        <v>3.542673107890499E-2</v>
      </c>
      <c r="L36">
        <f t="shared" si="15"/>
        <v>4.3109079033311563E-2</v>
      </c>
      <c r="M36">
        <f t="shared" si="15"/>
        <v>4.5112781954887216E-2</v>
      </c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spans="1:26" x14ac:dyDescent="0.35">
      <c r="A37" s="4" t="s">
        <v>3</v>
      </c>
      <c r="B37">
        <f t="shared" si="15"/>
        <v>6.5349914654962218E-2</v>
      </c>
      <c r="C37">
        <f t="shared" si="15"/>
        <v>4.5061447428311342E-2</v>
      </c>
      <c r="D37">
        <f t="shared" si="15"/>
        <v>8.5513720485003192E-2</v>
      </c>
      <c r="E37">
        <f t="shared" si="15"/>
        <v>0</v>
      </c>
      <c r="F37">
        <f t="shared" si="15"/>
        <v>0.2</v>
      </c>
      <c r="G37">
        <f t="shared" si="15"/>
        <v>0.13844023996308261</v>
      </c>
      <c r="H37">
        <f t="shared" si="15"/>
        <v>0.14306151645207438</v>
      </c>
      <c r="I37">
        <f t="shared" si="15"/>
        <v>0.17667844522968199</v>
      </c>
      <c r="J37">
        <f t="shared" si="15"/>
        <v>5.2215189873417722E-2</v>
      </c>
      <c r="K37">
        <f t="shared" si="15"/>
        <v>3.542673107890499E-2</v>
      </c>
      <c r="L37">
        <f t="shared" si="15"/>
        <v>6.4663618549967342E-2</v>
      </c>
      <c r="M37">
        <f t="shared" si="15"/>
        <v>4.5112781954887216E-2</v>
      </c>
      <c r="O37" s="50"/>
      <c r="P37" s="50"/>
      <c r="Q37" s="50"/>
      <c r="R37" s="50"/>
      <c r="S37" s="58"/>
      <c r="T37" s="58"/>
      <c r="U37" s="58"/>
      <c r="V37" s="58"/>
      <c r="W37" s="50"/>
      <c r="X37" s="50"/>
      <c r="Y37" s="50"/>
      <c r="Z37" s="50"/>
    </row>
    <row r="38" spans="1:26" x14ac:dyDescent="0.35">
      <c r="A38" s="4" t="s">
        <v>4</v>
      </c>
      <c r="B38">
        <f t="shared" si="15"/>
        <v>3.2674957327481109E-2</v>
      </c>
      <c r="C38">
        <f t="shared" si="15"/>
        <v>0.12107419208010928</v>
      </c>
      <c r="D38">
        <f t="shared" si="15"/>
        <v>8.5513720485003192E-2</v>
      </c>
      <c r="E38">
        <f t="shared" si="15"/>
        <v>4.026442307692308E-2</v>
      </c>
      <c r="F38">
        <f t="shared" si="15"/>
        <v>0</v>
      </c>
      <c r="G38">
        <f t="shared" si="15"/>
        <v>9.2293493308721747E-2</v>
      </c>
      <c r="H38">
        <f t="shared" si="15"/>
        <v>0</v>
      </c>
      <c r="I38">
        <f t="shared" si="15"/>
        <v>0</v>
      </c>
      <c r="J38">
        <f t="shared" si="15"/>
        <v>5.2215189873417722E-2</v>
      </c>
      <c r="K38">
        <f t="shared" si="15"/>
        <v>3.542673107890499E-2</v>
      </c>
      <c r="L38">
        <f t="shared" si="15"/>
        <v>4.3109079033311563E-2</v>
      </c>
      <c r="M38">
        <f t="shared" si="15"/>
        <v>4.5112781954887216E-2</v>
      </c>
      <c r="O38" s="50"/>
      <c r="P38" s="50"/>
      <c r="Q38" s="50"/>
      <c r="R38" s="50"/>
      <c r="S38" s="58"/>
      <c r="T38" s="58"/>
      <c r="U38" s="58"/>
      <c r="V38" s="58"/>
      <c r="W38" s="50"/>
      <c r="X38" s="50"/>
      <c r="Y38" s="50"/>
      <c r="Z38" s="50"/>
    </row>
    <row r="39" spans="1:26" x14ac:dyDescent="0.35">
      <c r="A39" s="4" t="s">
        <v>5</v>
      </c>
      <c r="B39">
        <f t="shared" si="15"/>
        <v>0.12216532553035847</v>
      </c>
      <c r="C39">
        <f t="shared" si="15"/>
        <v>6.0992262175694145E-2</v>
      </c>
      <c r="D39">
        <f t="shared" si="15"/>
        <v>8.5513720485003192E-2</v>
      </c>
      <c r="E39">
        <f t="shared" si="15"/>
        <v>8.0528846153846159E-2</v>
      </c>
      <c r="F39">
        <f t="shared" si="15"/>
        <v>6.7000000000000004E-2</v>
      </c>
      <c r="G39">
        <f t="shared" si="15"/>
        <v>0</v>
      </c>
      <c r="H39">
        <f t="shared" si="15"/>
        <v>9.5851216022889846E-2</v>
      </c>
      <c r="I39">
        <f t="shared" si="15"/>
        <v>0</v>
      </c>
      <c r="J39">
        <f t="shared" si="15"/>
        <v>5.2215189873417722E-2</v>
      </c>
      <c r="K39">
        <f t="shared" si="15"/>
        <v>3.542673107890499E-2</v>
      </c>
      <c r="L39">
        <f t="shared" si="15"/>
        <v>4.3109079033311563E-2</v>
      </c>
      <c r="M39">
        <f t="shared" si="15"/>
        <v>4.5112781954887216E-2</v>
      </c>
      <c r="O39" s="50"/>
      <c r="P39" s="50"/>
      <c r="Q39" s="50"/>
      <c r="R39" s="50"/>
      <c r="S39" s="58"/>
      <c r="T39" s="58"/>
      <c r="U39" s="58"/>
      <c r="V39" s="58"/>
      <c r="W39" s="50"/>
      <c r="X39" s="50"/>
      <c r="Y39" s="50"/>
      <c r="Z39" s="50"/>
    </row>
    <row r="40" spans="1:26" x14ac:dyDescent="0.35">
      <c r="A40" s="4" t="s">
        <v>6</v>
      </c>
      <c r="B40">
        <f t="shared" si="15"/>
        <v>3.2431114362350653E-2</v>
      </c>
      <c r="C40">
        <f t="shared" si="15"/>
        <v>0</v>
      </c>
      <c r="D40">
        <f t="shared" si="15"/>
        <v>0</v>
      </c>
      <c r="E40">
        <f t="shared" si="15"/>
        <v>0</v>
      </c>
      <c r="F40">
        <f t="shared" si="15"/>
        <v>0</v>
      </c>
      <c r="G40">
        <f t="shared" si="15"/>
        <v>7.7065066912782657E-2</v>
      </c>
      <c r="H40">
        <f t="shared" si="15"/>
        <v>0</v>
      </c>
      <c r="I40">
        <f t="shared" si="15"/>
        <v>0</v>
      </c>
      <c r="J40">
        <f t="shared" si="15"/>
        <v>0</v>
      </c>
      <c r="K40">
        <f t="shared" si="15"/>
        <v>0</v>
      </c>
      <c r="L40">
        <f t="shared" si="15"/>
        <v>0</v>
      </c>
      <c r="M40">
        <f t="shared" si="15"/>
        <v>0</v>
      </c>
      <c r="O40" s="50"/>
      <c r="P40" s="50"/>
      <c r="Q40" s="50"/>
      <c r="R40" s="50"/>
      <c r="S40" s="58"/>
      <c r="T40" s="58"/>
      <c r="U40" s="58"/>
      <c r="V40" s="58"/>
      <c r="W40" s="50"/>
      <c r="X40" s="50"/>
      <c r="Y40" s="50"/>
      <c r="Z40" s="50"/>
    </row>
    <row r="41" spans="1:26" x14ac:dyDescent="0.35">
      <c r="A41" s="4" t="s">
        <v>7</v>
      </c>
      <c r="B41">
        <f t="shared" si="15"/>
        <v>8.0468178493050494E-3</v>
      </c>
      <c r="C41">
        <f t="shared" si="15"/>
        <v>1.5020482476103781E-2</v>
      </c>
      <c r="D41">
        <f t="shared" si="15"/>
        <v>6.3816209317166556E-2</v>
      </c>
      <c r="E41">
        <f t="shared" si="15"/>
        <v>4.026442307692308E-2</v>
      </c>
      <c r="F41">
        <f t="shared" si="15"/>
        <v>0</v>
      </c>
      <c r="G41">
        <f t="shared" si="15"/>
        <v>4.6146746654360873E-2</v>
      </c>
      <c r="H41">
        <f t="shared" si="15"/>
        <v>0.14306151645207438</v>
      </c>
      <c r="I41">
        <f t="shared" si="15"/>
        <v>0</v>
      </c>
      <c r="J41">
        <f t="shared" si="15"/>
        <v>5.2215189873417722E-2</v>
      </c>
      <c r="K41">
        <f t="shared" si="15"/>
        <v>1.7713365539452495E-2</v>
      </c>
      <c r="L41">
        <f t="shared" si="15"/>
        <v>2.1554539516655782E-2</v>
      </c>
      <c r="M41">
        <f t="shared" si="15"/>
        <v>2.2556390977443608E-2</v>
      </c>
      <c r="O41" s="50"/>
      <c r="P41" s="50"/>
      <c r="Q41" s="50"/>
      <c r="R41" s="50"/>
      <c r="S41" s="58"/>
      <c r="T41" s="58"/>
      <c r="U41" s="58"/>
      <c r="V41" s="58"/>
      <c r="W41" s="50"/>
      <c r="X41" s="50"/>
      <c r="Y41" s="50"/>
      <c r="Z41" s="50"/>
    </row>
    <row r="42" spans="1:26" x14ac:dyDescent="0.35">
      <c r="A42" s="4" t="s">
        <v>8</v>
      </c>
      <c r="B42">
        <f t="shared" si="15"/>
        <v>5.6815410875396259E-2</v>
      </c>
      <c r="C42">
        <f t="shared" si="15"/>
        <v>0</v>
      </c>
      <c r="D42">
        <f t="shared" si="15"/>
        <v>0</v>
      </c>
      <c r="E42">
        <f t="shared" si="15"/>
        <v>0</v>
      </c>
      <c r="F42">
        <f t="shared" si="15"/>
        <v>0</v>
      </c>
      <c r="G42">
        <f t="shared" si="15"/>
        <v>0</v>
      </c>
      <c r="H42">
        <f t="shared" si="15"/>
        <v>0</v>
      </c>
      <c r="I42">
        <f t="shared" si="15"/>
        <v>0</v>
      </c>
      <c r="J42">
        <f t="shared" si="15"/>
        <v>0</v>
      </c>
      <c r="K42">
        <f t="shared" si="15"/>
        <v>0</v>
      </c>
      <c r="L42">
        <f t="shared" si="15"/>
        <v>0</v>
      </c>
      <c r="M42">
        <f t="shared" si="15"/>
        <v>0</v>
      </c>
      <c r="O42" s="50"/>
      <c r="P42" s="50"/>
      <c r="Q42" s="50"/>
      <c r="R42" s="50"/>
      <c r="S42" s="58"/>
      <c r="T42" s="58"/>
      <c r="U42" s="58"/>
      <c r="V42" s="58"/>
      <c r="W42" s="50"/>
      <c r="X42" s="50"/>
      <c r="Y42" s="50"/>
      <c r="Z42" s="50"/>
    </row>
    <row r="43" spans="1:26" x14ac:dyDescent="0.35">
      <c r="A43" s="4" t="s">
        <v>9</v>
      </c>
      <c r="B43">
        <f t="shared" si="15"/>
        <v>0.12972445744940261</v>
      </c>
      <c r="C43">
        <f t="shared" si="15"/>
        <v>4.5061447428311342E-2</v>
      </c>
      <c r="D43">
        <f t="shared" si="15"/>
        <v>6.3178047223994893E-2</v>
      </c>
      <c r="E43">
        <f t="shared" si="15"/>
        <v>5.9495192307692304E-2</v>
      </c>
      <c r="F43">
        <f t="shared" si="15"/>
        <v>3.3000000000000002E-2</v>
      </c>
      <c r="G43">
        <f t="shared" si="15"/>
        <v>3.0456852791878177E-2</v>
      </c>
      <c r="H43">
        <f t="shared" si="15"/>
        <v>4.7210300429184553E-2</v>
      </c>
      <c r="I43">
        <f t="shared" si="15"/>
        <v>5.8303886925795051E-2</v>
      </c>
      <c r="J43">
        <f t="shared" si="15"/>
        <v>0.1060126582278481</v>
      </c>
      <c r="K43">
        <f t="shared" si="15"/>
        <v>0</v>
      </c>
      <c r="L43">
        <f t="shared" si="15"/>
        <v>0.19595035924232526</v>
      </c>
      <c r="M43">
        <f t="shared" si="15"/>
        <v>0.13670539986329458</v>
      </c>
      <c r="O43" s="50"/>
      <c r="P43" s="50"/>
      <c r="Q43" s="50"/>
      <c r="R43" s="50"/>
      <c r="S43" s="58"/>
      <c r="T43" s="58"/>
      <c r="U43" s="58"/>
      <c r="V43" s="58"/>
      <c r="W43" s="50"/>
      <c r="X43" s="50"/>
      <c r="Y43" s="50"/>
      <c r="Z43" s="50"/>
    </row>
    <row r="44" spans="1:26" x14ac:dyDescent="0.35">
      <c r="A44" s="4" t="s">
        <v>10</v>
      </c>
      <c r="B44">
        <f t="shared" si="15"/>
        <v>0.16215557181175327</v>
      </c>
      <c r="C44">
        <f t="shared" si="15"/>
        <v>4.5061447428311342E-2</v>
      </c>
      <c r="D44">
        <f t="shared" si="15"/>
        <v>6.3178047223994893E-2</v>
      </c>
      <c r="E44">
        <f t="shared" si="15"/>
        <v>5.9495192307692304E-2</v>
      </c>
      <c r="F44">
        <f t="shared" si="15"/>
        <v>3.3000000000000002E-2</v>
      </c>
      <c r="G44">
        <f t="shared" si="15"/>
        <v>3.0456852791878177E-2</v>
      </c>
      <c r="H44">
        <f t="shared" si="15"/>
        <v>4.7210300429184553E-2</v>
      </c>
      <c r="I44">
        <f t="shared" si="15"/>
        <v>5.8303886925795051E-2</v>
      </c>
      <c r="J44">
        <f t="shared" si="15"/>
        <v>0.21044303797468356</v>
      </c>
      <c r="K44">
        <f t="shared" si="15"/>
        <v>0.28556092324208265</v>
      </c>
      <c r="L44">
        <f t="shared" si="15"/>
        <v>0</v>
      </c>
      <c r="M44">
        <f t="shared" si="15"/>
        <v>0.27272727272727271</v>
      </c>
      <c r="O44" s="50"/>
      <c r="P44" s="50"/>
      <c r="Q44" s="50"/>
      <c r="R44" s="50"/>
      <c r="S44" s="58"/>
      <c r="T44" s="58"/>
      <c r="U44" s="58"/>
      <c r="V44" s="58"/>
      <c r="W44" s="50"/>
      <c r="X44" s="50"/>
      <c r="Y44" s="50"/>
      <c r="Z44" s="50"/>
    </row>
    <row r="45" spans="1:26" x14ac:dyDescent="0.35">
      <c r="A45" s="4" t="s">
        <v>11</v>
      </c>
      <c r="B45">
        <f t="shared" si="15"/>
        <v>7.3152889539136817E-2</v>
      </c>
      <c r="C45">
        <f t="shared" si="15"/>
        <v>3.0040964952207563E-2</v>
      </c>
      <c r="D45">
        <f t="shared" si="15"/>
        <v>4.2118698149329933E-2</v>
      </c>
      <c r="E45">
        <f t="shared" si="15"/>
        <v>3.9663461538461536E-2</v>
      </c>
      <c r="F45">
        <f t="shared" si="15"/>
        <v>3.3000000000000002E-2</v>
      </c>
      <c r="G45">
        <f t="shared" si="15"/>
        <v>3.0456852791878177E-2</v>
      </c>
      <c r="H45">
        <f t="shared" si="15"/>
        <v>4.7210300429184553E-2</v>
      </c>
      <c r="I45">
        <f t="shared" si="15"/>
        <v>5.8303886925795051E-2</v>
      </c>
      <c r="J45">
        <f t="shared" si="15"/>
        <v>0.1060126582278481</v>
      </c>
      <c r="K45">
        <f t="shared" si="15"/>
        <v>0.16103059581320447</v>
      </c>
      <c r="L45">
        <f t="shared" si="15"/>
        <v>8.7524493794905289E-2</v>
      </c>
      <c r="M45">
        <f t="shared" si="15"/>
        <v>0</v>
      </c>
      <c r="O45" s="50"/>
      <c r="P45" s="50"/>
      <c r="Q45" s="50"/>
      <c r="R45" s="50"/>
      <c r="S45" s="58"/>
      <c r="T45" s="58"/>
      <c r="U45" s="58"/>
      <c r="V45" s="58"/>
      <c r="W45" s="50"/>
      <c r="X45" s="50"/>
      <c r="Y45" s="50"/>
      <c r="Z45" s="50"/>
    </row>
    <row r="46" spans="1:26" x14ac:dyDescent="0.35">
      <c r="A46" s="49" t="s">
        <v>111</v>
      </c>
      <c r="B46" s="11">
        <f>SUM(B34:B45)</f>
        <v>1.0000000000000002</v>
      </c>
      <c r="C46" s="11">
        <f t="shared" ref="C46:M46" si="16">SUM(C34:C45)</f>
        <v>1.0000000000000002</v>
      </c>
      <c r="D46" s="11">
        <f t="shared" si="16"/>
        <v>0.99999999999999989</v>
      </c>
      <c r="E46" s="11">
        <f t="shared" si="16"/>
        <v>1</v>
      </c>
      <c r="F46" s="11">
        <f t="shared" si="16"/>
        <v>1</v>
      </c>
      <c r="G46" s="11">
        <f t="shared" si="16"/>
        <v>1.0000000000000002</v>
      </c>
      <c r="H46" s="11">
        <f t="shared" si="16"/>
        <v>0.99999999999999989</v>
      </c>
      <c r="I46" s="11">
        <f t="shared" si="16"/>
        <v>1</v>
      </c>
      <c r="J46" s="11">
        <f t="shared" si="16"/>
        <v>1</v>
      </c>
      <c r="K46" s="11">
        <f t="shared" si="16"/>
        <v>0.99999999999999989</v>
      </c>
      <c r="L46" s="11">
        <f t="shared" si="16"/>
        <v>0.99999999999999978</v>
      </c>
      <c r="M46" s="11">
        <f t="shared" si="16"/>
        <v>1</v>
      </c>
      <c r="S46" s="58"/>
      <c r="T46" s="58"/>
      <c r="U46" s="58"/>
    </row>
    <row r="47" spans="1:26" x14ac:dyDescent="0.35">
      <c r="S47" s="58"/>
      <c r="U47" s="58"/>
    </row>
    <row r="48" spans="1:26" x14ac:dyDescent="0.35">
      <c r="S48" s="58"/>
      <c r="U48" s="58"/>
    </row>
    <row r="49" spans="19:19" x14ac:dyDescent="0.35">
      <c r="S49" s="58"/>
    </row>
    <row r="50" spans="19:19" x14ac:dyDescent="0.35">
      <c r="S50" s="5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CC34F-6483-432A-BD81-EFDD3058B055}">
  <dimension ref="A1:U17"/>
  <sheetViews>
    <sheetView zoomScale="85" zoomScaleNormal="85" workbookViewId="0">
      <selection activeCell="B4" sqref="B4"/>
    </sheetView>
  </sheetViews>
  <sheetFormatPr defaultRowHeight="14.5" x14ac:dyDescent="0.35"/>
  <cols>
    <col min="1" max="1" width="11.36328125" customWidth="1"/>
    <col min="3" max="3" width="12" bestFit="1" customWidth="1"/>
    <col min="4" max="11" width="10" bestFit="1" customWidth="1"/>
    <col min="13" max="14" width="10" bestFit="1" customWidth="1"/>
  </cols>
  <sheetData>
    <row r="1" spans="1:2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1" t="s">
        <v>114</v>
      </c>
      <c r="P1" t="s">
        <v>120</v>
      </c>
      <c r="S1" t="s">
        <v>113</v>
      </c>
    </row>
    <row r="2" spans="1:21" x14ac:dyDescent="0.35">
      <c r="A2" s="4" t="s">
        <v>0</v>
      </c>
      <c r="B2">
        <f>550*percentage_OD_matrix!B34</f>
        <v>0</v>
      </c>
      <c r="C2">
        <f>450*percentage_OD_matrix!C34</f>
        <v>205.23441055985438</v>
      </c>
      <c r="D2">
        <f>150*percentage_OD_matrix!D34</f>
        <v>28.717294192724953</v>
      </c>
      <c r="E2">
        <f>200*percentage_OD_matrix!E34</f>
        <v>48.076923076923073</v>
      </c>
      <c r="F2">
        <f>100*percentage_OD_matrix!F34</f>
        <v>20</v>
      </c>
      <c r="G2">
        <f>150*percentage_OD_matrix!G34</f>
        <v>34.679280110752195</v>
      </c>
      <c r="H2">
        <f>50*percentage_OD_matrix!H34</f>
        <v>7.1530758226037188</v>
      </c>
      <c r="I2">
        <f>50*percentage_OD_matrix!I34</f>
        <v>8.8339222614840995</v>
      </c>
      <c r="J2">
        <f>50*percentage_OD_matrix!J34</f>
        <v>13.212025316455694</v>
      </c>
      <c r="K2">
        <f>200*percentage_OD_matrix!K34</f>
        <v>71.712292002147066</v>
      </c>
      <c r="L2">
        <f>250*percentage_OD_matrix!L34</f>
        <v>109.07903331156106</v>
      </c>
      <c r="M2">
        <f>150*percentage_OD_matrix!M34</f>
        <v>51.36705399863294</v>
      </c>
      <c r="N2" s="11">
        <f>SUM(B2:M2)</f>
        <v>598.06531065313925</v>
      </c>
      <c r="P2">
        <v>11</v>
      </c>
      <c r="S2" s="48">
        <f>N2/B14</f>
        <v>1.0873914739147985</v>
      </c>
    </row>
    <row r="3" spans="1:21" x14ac:dyDescent="0.35">
      <c r="A3" s="4" t="s">
        <v>1</v>
      </c>
      <c r="B3">
        <f>550*percentage_OD_matrix!B35</f>
        <v>134.38185808339432</v>
      </c>
      <c r="C3">
        <f>450*percentage_OD_matrix!C35</f>
        <v>0</v>
      </c>
      <c r="D3">
        <f>150*percentage_OD_matrix!D35</f>
        <v>47.957881301850669</v>
      </c>
      <c r="E3">
        <f>200*percentage_OD_matrix!E35</f>
        <v>63.942307692307701</v>
      </c>
      <c r="F3">
        <f>100*percentage_OD_matrix!F35</f>
        <v>33.4</v>
      </c>
      <c r="G3">
        <f>150*percentage_OD_matrix!G35</f>
        <v>34.679280110752195</v>
      </c>
      <c r="H3">
        <f>50*percentage_OD_matrix!H35</f>
        <v>9.5135908440629464</v>
      </c>
      <c r="I3">
        <f>50*percentage_OD_matrix!I35</f>
        <v>14.752650176678445</v>
      </c>
      <c r="J3">
        <f>50*percentage_OD_matrix!J35</f>
        <v>2.6107594936708862</v>
      </c>
      <c r="K3">
        <f>200*percentage_OD_matrix!K35</f>
        <v>7.0853462157809979</v>
      </c>
      <c r="L3">
        <f>250*percentage_OD_matrix!L35</f>
        <v>16.165904637491835</v>
      </c>
      <c r="M3">
        <f>150*percentage_OD_matrix!M35</f>
        <v>6.7669172932330826</v>
      </c>
      <c r="N3" s="11">
        <f t="shared" ref="N3:N13" si="0">SUM(B3:M3)</f>
        <v>371.25649584922309</v>
      </c>
      <c r="P3">
        <v>9</v>
      </c>
      <c r="S3" s="48">
        <f>N3/C14</f>
        <v>0.82501443522049556</v>
      </c>
    </row>
    <row r="4" spans="1:21" x14ac:dyDescent="0.35">
      <c r="A4" s="4" t="s">
        <v>2</v>
      </c>
      <c r="B4">
        <f>550*percentage_OD_matrix!B36</f>
        <v>40.234089246525251</v>
      </c>
      <c r="C4">
        <f>450*percentage_OD_matrix!C36</f>
        <v>81.725079654073767</v>
      </c>
      <c r="D4">
        <f>150*percentage_OD_matrix!D36</f>
        <v>0</v>
      </c>
      <c r="E4">
        <f>200*percentage_OD_matrix!E36</f>
        <v>24.038461538461537</v>
      </c>
      <c r="F4">
        <f>100*percentage_OD_matrix!F36</f>
        <v>10</v>
      </c>
      <c r="G4">
        <f>150*percentage_OD_matrix!G36</f>
        <v>13.844023996308263</v>
      </c>
      <c r="H4">
        <f>50*percentage_OD_matrix!H36</f>
        <v>7.1530758226037188</v>
      </c>
      <c r="I4">
        <f>50*percentage_OD_matrix!I36</f>
        <v>8.8339222614840995</v>
      </c>
      <c r="J4">
        <f>50*percentage_OD_matrix!J36</f>
        <v>2.6107594936708862</v>
      </c>
      <c r="K4">
        <f>200*percentage_OD_matrix!K36</f>
        <v>7.0853462157809979</v>
      </c>
      <c r="L4">
        <f>250*percentage_OD_matrix!L36</f>
        <v>10.777269758327892</v>
      </c>
      <c r="M4">
        <f>150*percentage_OD_matrix!M36</f>
        <v>6.7669172932330826</v>
      </c>
      <c r="N4" s="11">
        <f t="shared" si="0"/>
        <v>213.06894528046951</v>
      </c>
      <c r="P4">
        <v>3</v>
      </c>
      <c r="S4" s="48">
        <f>N4/D14</f>
        <v>1.42045963520313</v>
      </c>
    </row>
    <row r="5" spans="1:21" x14ac:dyDescent="0.35">
      <c r="A5" s="4" t="s">
        <v>3</v>
      </c>
      <c r="B5">
        <f>550*percentage_OD_matrix!B37</f>
        <v>35.942453060229219</v>
      </c>
      <c r="C5">
        <f>450*percentage_OD_matrix!C37</f>
        <v>20.277651342740104</v>
      </c>
      <c r="D5">
        <f>150*percentage_OD_matrix!D37</f>
        <v>12.827058072750479</v>
      </c>
      <c r="E5">
        <f>200*percentage_OD_matrix!E37</f>
        <v>0</v>
      </c>
      <c r="F5">
        <f>100*percentage_OD_matrix!F37</f>
        <v>20</v>
      </c>
      <c r="G5">
        <f>150*percentage_OD_matrix!G37</f>
        <v>20.766035994462392</v>
      </c>
      <c r="H5">
        <f>50*percentage_OD_matrix!H37</f>
        <v>7.1530758226037188</v>
      </c>
      <c r="I5">
        <f>50*percentage_OD_matrix!I37</f>
        <v>8.8339222614840995</v>
      </c>
      <c r="J5">
        <f>50*percentage_OD_matrix!J37</f>
        <v>2.6107594936708862</v>
      </c>
      <c r="K5">
        <f>200*percentage_OD_matrix!K37</f>
        <v>7.0853462157809979</v>
      </c>
      <c r="L5">
        <f>250*percentage_OD_matrix!L37</f>
        <v>16.165904637491835</v>
      </c>
      <c r="M5">
        <f>150*percentage_OD_matrix!M37</f>
        <v>6.7669172932330826</v>
      </c>
      <c r="N5" s="11">
        <f t="shared" si="0"/>
        <v>158.42912419444681</v>
      </c>
      <c r="P5">
        <v>4</v>
      </c>
      <c r="S5" s="48">
        <f>N5/E14</f>
        <v>0.79214562097223407</v>
      </c>
    </row>
    <row r="6" spans="1:21" x14ac:dyDescent="0.35">
      <c r="A6" s="4" t="s">
        <v>4</v>
      </c>
      <c r="B6">
        <f>550*percentage_OD_matrix!B38</f>
        <v>17.97122653011461</v>
      </c>
      <c r="C6">
        <f>450*percentage_OD_matrix!C38</f>
        <v>54.483386436049173</v>
      </c>
      <c r="D6">
        <f>150*percentage_OD_matrix!D38</f>
        <v>12.827058072750479</v>
      </c>
      <c r="E6">
        <f>200*percentage_OD_matrix!E38</f>
        <v>8.0528846153846168</v>
      </c>
      <c r="F6">
        <f>100*percentage_OD_matrix!F38</f>
        <v>0</v>
      </c>
      <c r="G6">
        <f>150*percentage_OD_matrix!G38</f>
        <v>13.844023996308263</v>
      </c>
      <c r="H6">
        <f>50*percentage_OD_matrix!H38</f>
        <v>0</v>
      </c>
      <c r="I6">
        <f>50*percentage_OD_matrix!I38</f>
        <v>0</v>
      </c>
      <c r="J6">
        <f>50*percentage_OD_matrix!J38</f>
        <v>2.6107594936708862</v>
      </c>
      <c r="K6">
        <f>200*percentage_OD_matrix!K38</f>
        <v>7.0853462157809979</v>
      </c>
      <c r="L6">
        <f>250*percentage_OD_matrix!L38</f>
        <v>10.777269758327892</v>
      </c>
      <c r="M6">
        <f>150*percentage_OD_matrix!M38</f>
        <v>6.7669172932330826</v>
      </c>
      <c r="N6" s="11">
        <f t="shared" si="0"/>
        <v>134.41887241161999</v>
      </c>
      <c r="P6">
        <v>2</v>
      </c>
      <c r="S6" s="48">
        <f>N6/F14</f>
        <v>1.3441887241161998</v>
      </c>
    </row>
    <row r="7" spans="1:21" x14ac:dyDescent="0.35">
      <c r="A7" s="4" t="s">
        <v>5</v>
      </c>
      <c r="B7">
        <f>550*percentage_OD_matrix!B39</f>
        <v>67.19092904169716</v>
      </c>
      <c r="C7">
        <f>450*percentage_OD_matrix!C39</f>
        <v>27.446517979062364</v>
      </c>
      <c r="D7">
        <f>150*percentage_OD_matrix!D39</f>
        <v>12.827058072750479</v>
      </c>
      <c r="E7">
        <f>200*percentage_OD_matrix!E39</f>
        <v>16.105769230769234</v>
      </c>
      <c r="F7">
        <f>100*percentage_OD_matrix!F39</f>
        <v>6.7</v>
      </c>
      <c r="G7">
        <f>150*percentage_OD_matrix!G39</f>
        <v>0</v>
      </c>
      <c r="H7">
        <f>50*percentage_OD_matrix!H39</f>
        <v>4.792560801144492</v>
      </c>
      <c r="I7">
        <f>50*percentage_OD_matrix!I39</f>
        <v>0</v>
      </c>
      <c r="J7">
        <f>50*percentage_OD_matrix!J39</f>
        <v>2.6107594936708862</v>
      </c>
      <c r="K7">
        <f>200*percentage_OD_matrix!K39</f>
        <v>7.0853462157809979</v>
      </c>
      <c r="L7">
        <f>250*percentage_OD_matrix!L39</f>
        <v>10.777269758327892</v>
      </c>
      <c r="M7">
        <f>150*percentage_OD_matrix!M39</f>
        <v>6.7669172932330826</v>
      </c>
      <c r="N7" s="11">
        <f t="shared" si="0"/>
        <v>162.30312788643658</v>
      </c>
      <c r="P7">
        <v>3</v>
      </c>
      <c r="S7" s="48">
        <f>N7/G14</f>
        <v>1.0820208525762436</v>
      </c>
    </row>
    <row r="8" spans="1:21" x14ac:dyDescent="0.35">
      <c r="A8" s="4" t="s">
        <v>6</v>
      </c>
      <c r="B8">
        <f>550*percentage_OD_matrix!B40</f>
        <v>17.837112899292858</v>
      </c>
      <c r="C8">
        <f>450*percentage_OD_matrix!C40</f>
        <v>0</v>
      </c>
      <c r="D8">
        <f>150*percentage_OD_matrix!D40</f>
        <v>0</v>
      </c>
      <c r="E8">
        <f>200*percentage_OD_matrix!E40</f>
        <v>0</v>
      </c>
      <c r="F8">
        <f>100*percentage_OD_matrix!F40</f>
        <v>0</v>
      </c>
      <c r="G8">
        <f>150*percentage_OD_matrix!G40</f>
        <v>11.559760036917398</v>
      </c>
      <c r="H8">
        <f>50*percentage_OD_matrix!H40</f>
        <v>0</v>
      </c>
      <c r="I8">
        <f>50*percentage_OD_matrix!I40</f>
        <v>0</v>
      </c>
      <c r="J8">
        <f>50*percentage_OD_matrix!J40</f>
        <v>0</v>
      </c>
      <c r="K8">
        <f>200*percentage_OD_matrix!K40</f>
        <v>0</v>
      </c>
      <c r="L8">
        <f>250*percentage_OD_matrix!L40</f>
        <v>0</v>
      </c>
      <c r="M8">
        <f>150*percentage_OD_matrix!M40</f>
        <v>0</v>
      </c>
      <c r="N8" s="11">
        <f t="shared" si="0"/>
        <v>29.396872936210258</v>
      </c>
      <c r="P8">
        <v>1</v>
      </c>
      <c r="S8" s="48">
        <f>N8/H14</f>
        <v>0.58793745872420522</v>
      </c>
    </row>
    <row r="9" spans="1:21" x14ac:dyDescent="0.35">
      <c r="A9" s="4" t="s">
        <v>7</v>
      </c>
      <c r="B9">
        <f>550*percentage_OD_matrix!B41</f>
        <v>4.4257498171177776</v>
      </c>
      <c r="C9">
        <f>450*percentage_OD_matrix!C41</f>
        <v>6.7592171142467015</v>
      </c>
      <c r="D9">
        <f>150*percentage_OD_matrix!D41</f>
        <v>9.5724313975749826</v>
      </c>
      <c r="E9">
        <f>200*percentage_OD_matrix!E41</f>
        <v>8.0528846153846168</v>
      </c>
      <c r="F9">
        <f>100*percentage_OD_matrix!F41</f>
        <v>0</v>
      </c>
      <c r="G9">
        <f>150*percentage_OD_matrix!G41</f>
        <v>6.9220119981541313</v>
      </c>
      <c r="H9">
        <f>50*percentage_OD_matrix!H41</f>
        <v>7.1530758226037188</v>
      </c>
      <c r="I9">
        <f>50*percentage_OD_matrix!I41</f>
        <v>0</v>
      </c>
      <c r="J9">
        <f>50*percentage_OD_matrix!J41</f>
        <v>2.6107594936708862</v>
      </c>
      <c r="K9">
        <f>200*percentage_OD_matrix!K41</f>
        <v>3.5426731078904989</v>
      </c>
      <c r="L9">
        <f>250*percentage_OD_matrix!L41</f>
        <v>5.3886348791639458</v>
      </c>
      <c r="M9">
        <f>150*percentage_OD_matrix!M41</f>
        <v>3.3834586466165413</v>
      </c>
      <c r="N9" s="11">
        <f t="shared" si="0"/>
        <v>57.810896892423791</v>
      </c>
      <c r="P9">
        <v>1</v>
      </c>
      <c r="S9" s="48">
        <f>N9/I14</f>
        <v>1.1562179378484758</v>
      </c>
    </row>
    <row r="10" spans="1:21" x14ac:dyDescent="0.35">
      <c r="A10" s="4" t="s">
        <v>8</v>
      </c>
      <c r="B10">
        <f>550*percentage_OD_matrix!B42</f>
        <v>31.248475981467944</v>
      </c>
      <c r="C10">
        <f>450*percentage_OD_matrix!C42</f>
        <v>0</v>
      </c>
      <c r="D10">
        <f>150*percentage_OD_matrix!D42</f>
        <v>0</v>
      </c>
      <c r="E10">
        <f>200*percentage_OD_matrix!E42</f>
        <v>0</v>
      </c>
      <c r="F10">
        <f>100*percentage_OD_matrix!F42</f>
        <v>0</v>
      </c>
      <c r="G10">
        <f>150*percentage_OD_matrix!G42</f>
        <v>0</v>
      </c>
      <c r="H10">
        <f>50*percentage_OD_matrix!H42</f>
        <v>0</v>
      </c>
      <c r="I10">
        <f>50*percentage_OD_matrix!I42</f>
        <v>0</v>
      </c>
      <c r="J10">
        <f>50*percentage_OD_matrix!J42</f>
        <v>0</v>
      </c>
      <c r="K10">
        <f>200*percentage_OD_matrix!K42</f>
        <v>0</v>
      </c>
      <c r="L10">
        <f>250*percentage_OD_matrix!L42</f>
        <v>0</v>
      </c>
      <c r="M10">
        <f>150*percentage_OD_matrix!M42</f>
        <v>0</v>
      </c>
      <c r="N10" s="11">
        <f t="shared" si="0"/>
        <v>31.248475981467944</v>
      </c>
      <c r="P10">
        <v>1</v>
      </c>
      <c r="S10" s="48">
        <f>N10/J14</f>
        <v>0.62496951962935876</v>
      </c>
    </row>
    <row r="11" spans="1:21" x14ac:dyDescent="0.35">
      <c r="A11" s="4" t="s">
        <v>9</v>
      </c>
      <c r="B11">
        <f>550*percentage_OD_matrix!B43</f>
        <v>71.348451597171433</v>
      </c>
      <c r="C11">
        <f>450*percentage_OD_matrix!C43</f>
        <v>20.277651342740104</v>
      </c>
      <c r="D11">
        <f>150*percentage_OD_matrix!D43</f>
        <v>9.4767070835992335</v>
      </c>
      <c r="E11">
        <f>200*percentage_OD_matrix!E43</f>
        <v>11.899038461538462</v>
      </c>
      <c r="F11">
        <f>100*percentage_OD_matrix!F43</f>
        <v>3.3000000000000003</v>
      </c>
      <c r="G11">
        <f>150*percentage_OD_matrix!G43</f>
        <v>4.5685279187817267</v>
      </c>
      <c r="H11">
        <f>50*percentage_OD_matrix!H43</f>
        <v>2.3605150214592276</v>
      </c>
      <c r="I11">
        <f>50*percentage_OD_matrix!I43</f>
        <v>2.9151943462897525</v>
      </c>
      <c r="J11">
        <f>50*percentage_OD_matrix!J43</f>
        <v>5.3006329113924044</v>
      </c>
      <c r="K11">
        <f>200*percentage_OD_matrix!K43</f>
        <v>0</v>
      </c>
      <c r="L11">
        <f>250*percentage_OD_matrix!L43</f>
        <v>48.987589810581312</v>
      </c>
      <c r="M11">
        <f>150*percentage_OD_matrix!M43</f>
        <v>20.505809979494188</v>
      </c>
      <c r="N11" s="11">
        <f t="shared" si="0"/>
        <v>200.94011847304785</v>
      </c>
      <c r="P11">
        <v>4</v>
      </c>
      <c r="S11" s="48">
        <f>N11/K14</f>
        <v>1.0047005923652392</v>
      </c>
    </row>
    <row r="12" spans="1:21" x14ac:dyDescent="0.35">
      <c r="A12" s="4" t="s">
        <v>10</v>
      </c>
      <c r="B12">
        <f>550*percentage_OD_matrix!B44</f>
        <v>89.185564496464295</v>
      </c>
      <c r="C12">
        <f>450*percentage_OD_matrix!C44</f>
        <v>20.277651342740104</v>
      </c>
      <c r="D12">
        <f>150*percentage_OD_matrix!D44</f>
        <v>9.4767070835992335</v>
      </c>
      <c r="E12">
        <f>200*percentage_OD_matrix!E44</f>
        <v>11.899038461538462</v>
      </c>
      <c r="F12">
        <f>100*percentage_OD_matrix!F44</f>
        <v>3.3000000000000003</v>
      </c>
      <c r="G12">
        <f>150*percentage_OD_matrix!G44</f>
        <v>4.5685279187817267</v>
      </c>
      <c r="H12">
        <f>50*percentage_OD_matrix!H44</f>
        <v>2.3605150214592276</v>
      </c>
      <c r="I12">
        <f>50*percentage_OD_matrix!I44</f>
        <v>2.9151943462897525</v>
      </c>
      <c r="J12">
        <f>50*percentage_OD_matrix!J44</f>
        <v>10.522151898734178</v>
      </c>
      <c r="K12">
        <f>200*percentage_OD_matrix!K44</f>
        <v>57.11218464841653</v>
      </c>
      <c r="L12">
        <f>250*percentage_OD_matrix!L44</f>
        <v>0</v>
      </c>
      <c r="M12">
        <f>150*percentage_OD_matrix!M44</f>
        <v>40.909090909090907</v>
      </c>
      <c r="N12" s="11">
        <f t="shared" si="0"/>
        <v>252.52662612711444</v>
      </c>
      <c r="P12">
        <v>5</v>
      </c>
      <c r="S12" s="48">
        <f>N12/L14</f>
        <v>1.0101065045084576</v>
      </c>
    </row>
    <row r="13" spans="1:21" x14ac:dyDescent="0.35">
      <c r="A13" s="4" t="s">
        <v>11</v>
      </c>
      <c r="B13">
        <f>550*percentage_OD_matrix!B45</f>
        <v>40.234089246525251</v>
      </c>
      <c r="C13">
        <f>450*percentage_OD_matrix!C45</f>
        <v>13.518434228493403</v>
      </c>
      <c r="D13">
        <f>150*percentage_OD_matrix!D45</f>
        <v>6.3178047223994902</v>
      </c>
      <c r="E13">
        <f>200*percentage_OD_matrix!E45</f>
        <v>7.9326923076923075</v>
      </c>
      <c r="F13">
        <f>100*percentage_OD_matrix!F45</f>
        <v>3.3000000000000003</v>
      </c>
      <c r="G13">
        <f>150*percentage_OD_matrix!G45</f>
        <v>4.5685279187817267</v>
      </c>
      <c r="H13">
        <f>50*percentage_OD_matrix!H45</f>
        <v>2.3605150214592276</v>
      </c>
      <c r="I13">
        <f>50*percentage_OD_matrix!I45</f>
        <v>2.9151943462897525</v>
      </c>
      <c r="J13">
        <f>50*percentage_OD_matrix!J45</f>
        <v>5.3006329113924044</v>
      </c>
      <c r="K13">
        <f>200*percentage_OD_matrix!K45</f>
        <v>32.206119162640896</v>
      </c>
      <c r="L13">
        <f>250*percentage_OD_matrix!L45</f>
        <v>21.881123448726321</v>
      </c>
      <c r="M13">
        <f>150*percentage_OD_matrix!M45</f>
        <v>0</v>
      </c>
      <c r="N13" s="11">
        <f t="shared" si="0"/>
        <v>140.53513331440078</v>
      </c>
      <c r="P13">
        <v>3</v>
      </c>
      <c r="S13" s="48">
        <f>N13/M14</f>
        <v>0.93690088876267186</v>
      </c>
    </row>
    <row r="14" spans="1:21" x14ac:dyDescent="0.35">
      <c r="A14" s="11" t="s">
        <v>115</v>
      </c>
      <c r="B14" s="11">
        <f>SUM(B2:B13)</f>
        <v>550.00000000000011</v>
      </c>
      <c r="C14" s="11">
        <f t="shared" ref="C14:L14" si="1">SUM(C2:C13)</f>
        <v>450.00000000000011</v>
      </c>
      <c r="D14" s="11">
        <f t="shared" si="1"/>
        <v>150</v>
      </c>
      <c r="E14" s="11">
        <f t="shared" si="1"/>
        <v>200</v>
      </c>
      <c r="F14" s="11">
        <f t="shared" si="1"/>
        <v>100</v>
      </c>
      <c r="G14" s="11">
        <f t="shared" si="1"/>
        <v>150.00000000000006</v>
      </c>
      <c r="H14" s="11">
        <f t="shared" si="1"/>
        <v>49.999999999999993</v>
      </c>
      <c r="I14" s="11">
        <f t="shared" si="1"/>
        <v>50</v>
      </c>
      <c r="J14" s="11">
        <f t="shared" si="1"/>
        <v>50.000000000000007</v>
      </c>
      <c r="K14" s="11">
        <f t="shared" si="1"/>
        <v>200</v>
      </c>
      <c r="L14" s="11">
        <f t="shared" si="1"/>
        <v>250.00000000000003</v>
      </c>
      <c r="M14" s="11">
        <f>SUM(M2:M13)</f>
        <v>150</v>
      </c>
    </row>
    <row r="16" spans="1:21" x14ac:dyDescent="0.35">
      <c r="S16" s="48"/>
      <c r="U16" s="48"/>
    </row>
    <row r="17" spans="19:21" x14ac:dyDescent="0.35">
      <c r="S17" s="50"/>
      <c r="U17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distinct_flight_paths_full</vt:lpstr>
      <vt:lpstr>rating_per_OD_pair</vt:lpstr>
      <vt:lpstr>percentage_OD_matrix</vt:lpstr>
      <vt:lpstr>actual_demand_matrix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Barbian</dc:creator>
  <cp:lastModifiedBy>Luuk Barbian</cp:lastModifiedBy>
  <dcterms:created xsi:type="dcterms:W3CDTF">2024-08-02T14:33:11Z</dcterms:created>
  <dcterms:modified xsi:type="dcterms:W3CDTF">2024-10-28T13:10:00Z</dcterms:modified>
</cp:coreProperties>
</file>