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e8ede75418a1548/Documenten/Thesis/PythonThesis/instance_generation/"/>
    </mc:Choice>
  </mc:AlternateContent>
  <xr:revisionPtr revIDLastSave="368" documentId="8_{82DE510A-27BC-46D1-9C6A-DD5AC5A4BA0C}" xr6:coauthVersionLast="47" xr6:coauthVersionMax="47" xr10:uidLastSave="{EDCEF918-28FB-4E20-8DDF-C15468A0914C}"/>
  <bookViews>
    <workbookView xWindow="19090" yWindow="-11790" windowWidth="38620" windowHeight="21100" activeTab="2" xr2:uid="{4237C901-7B02-49F2-81F6-8637E04342D7}"/>
  </bookViews>
  <sheets>
    <sheet name="distinct_flight_paths_reduced" sheetId="1" r:id="rId1"/>
    <sheet name="rating_per_OD_pair" sheetId="2" r:id="rId2"/>
    <sheet name="percentage_OD_matrix" sheetId="3" r:id="rId3"/>
    <sheet name="actual_demand_matr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3" l="1"/>
  <c r="Y31" i="3" s="1"/>
  <c r="Y30" i="3" s="1"/>
  <c r="Y29" i="3" s="1"/>
  <c r="Y28" i="3" s="1"/>
  <c r="Y33" i="3"/>
  <c r="X33" i="3"/>
  <c r="X34" i="3"/>
  <c r="Z39" i="3"/>
  <c r="Q45" i="3"/>
  <c r="Q44" i="3"/>
  <c r="Q39" i="3"/>
  <c r="Q40" i="3"/>
  <c r="Q42" i="3"/>
  <c r="Q41" i="3" s="1"/>
  <c r="Q43" i="3"/>
  <c r="P37" i="3"/>
  <c r="S3" i="3" l="1"/>
  <c r="T3" i="3"/>
  <c r="U3" i="3"/>
  <c r="V3" i="3"/>
  <c r="W3" i="3"/>
  <c r="X3" i="3"/>
  <c r="Y3" i="3"/>
  <c r="Z3" i="3"/>
  <c r="AA3" i="3"/>
  <c r="S4" i="3"/>
  <c r="T4" i="3"/>
  <c r="U4" i="3"/>
  <c r="V4" i="3"/>
  <c r="W4" i="3"/>
  <c r="X4" i="3"/>
  <c r="Y4" i="3"/>
  <c r="Z4" i="3"/>
  <c r="AA4" i="3"/>
  <c r="S5" i="3"/>
  <c r="T5" i="3"/>
  <c r="U5" i="3"/>
  <c r="V5" i="3"/>
  <c r="W5" i="3"/>
  <c r="X5" i="3"/>
  <c r="Y5" i="3"/>
  <c r="Z5" i="3"/>
  <c r="AA5" i="3"/>
  <c r="S6" i="3"/>
  <c r="T6" i="3"/>
  <c r="U6" i="3"/>
  <c r="V6" i="3"/>
  <c r="W6" i="3"/>
  <c r="X6" i="3"/>
  <c r="Y6" i="3"/>
  <c r="Z6" i="3"/>
  <c r="AA6" i="3"/>
  <c r="S7" i="3"/>
  <c r="T7" i="3"/>
  <c r="U7" i="3"/>
  <c r="V7" i="3"/>
  <c r="W7" i="3"/>
  <c r="X7" i="3"/>
  <c r="Y7" i="3"/>
  <c r="Z7" i="3"/>
  <c r="AA7" i="3"/>
  <c r="S8" i="3"/>
  <c r="T8" i="3"/>
  <c r="U8" i="3"/>
  <c r="V8" i="3"/>
  <c r="W8" i="3"/>
  <c r="X8" i="3"/>
  <c r="Y8" i="3"/>
  <c r="Z8" i="3"/>
  <c r="AA8" i="3"/>
  <c r="S9" i="3"/>
  <c r="T9" i="3"/>
  <c r="U9" i="3"/>
  <c r="V9" i="3"/>
  <c r="W9" i="3"/>
  <c r="X9" i="3"/>
  <c r="Y9" i="3"/>
  <c r="Z9" i="3"/>
  <c r="AA9" i="3"/>
  <c r="S10" i="3"/>
  <c r="T10" i="3"/>
  <c r="U10" i="3"/>
  <c r="V10" i="3"/>
  <c r="W10" i="3"/>
  <c r="Y10" i="3"/>
  <c r="Z10" i="3"/>
  <c r="S11" i="3"/>
  <c r="T11" i="3"/>
  <c r="U11" i="3"/>
  <c r="V11" i="3"/>
  <c r="W11" i="3"/>
  <c r="X11" i="3"/>
  <c r="Y11" i="3"/>
  <c r="Z11" i="3"/>
  <c r="AA11" i="3"/>
  <c r="S12" i="3"/>
  <c r="T12" i="3"/>
  <c r="U12" i="3"/>
  <c r="V12" i="3"/>
  <c r="W12" i="3"/>
  <c r="Y12" i="3"/>
  <c r="Z12" i="3"/>
  <c r="AA12" i="3"/>
  <c r="R3" i="3"/>
  <c r="R4" i="3"/>
  <c r="R5" i="3"/>
  <c r="R6" i="3"/>
  <c r="R7" i="3"/>
  <c r="R8" i="3"/>
  <c r="R9" i="3"/>
  <c r="R10" i="3"/>
  <c r="R11" i="3"/>
  <c r="R12" i="3"/>
  <c r="C16" i="3" l="1"/>
  <c r="D16" i="3"/>
  <c r="E16" i="3"/>
  <c r="F16" i="3"/>
  <c r="G16" i="3"/>
  <c r="H16" i="3"/>
  <c r="I16" i="3"/>
  <c r="J16" i="3"/>
  <c r="K16" i="3"/>
  <c r="C17" i="3"/>
  <c r="D17" i="3"/>
  <c r="E17" i="3"/>
  <c r="F17" i="3"/>
  <c r="G17" i="3"/>
  <c r="H17" i="3"/>
  <c r="I17" i="3"/>
  <c r="J17" i="3"/>
  <c r="K17" i="3"/>
  <c r="C18" i="3"/>
  <c r="D18" i="3"/>
  <c r="E18" i="3"/>
  <c r="F18" i="3"/>
  <c r="G18" i="3"/>
  <c r="H18" i="3"/>
  <c r="I18" i="3"/>
  <c r="J18" i="3"/>
  <c r="K18" i="3"/>
  <c r="C19" i="3"/>
  <c r="D19" i="3"/>
  <c r="E19" i="3"/>
  <c r="F19" i="3"/>
  <c r="G19" i="3"/>
  <c r="H19" i="3"/>
  <c r="I19" i="3"/>
  <c r="J19" i="3"/>
  <c r="K19" i="3"/>
  <c r="C20" i="3"/>
  <c r="D20" i="3"/>
  <c r="E20" i="3"/>
  <c r="F20" i="3"/>
  <c r="G20" i="3"/>
  <c r="H20" i="3"/>
  <c r="I20" i="3"/>
  <c r="J20" i="3"/>
  <c r="K20" i="3"/>
  <c r="C21" i="3"/>
  <c r="D21" i="3"/>
  <c r="E21" i="3"/>
  <c r="F21" i="3"/>
  <c r="G21" i="3"/>
  <c r="H21" i="3"/>
  <c r="I21" i="3"/>
  <c r="J21" i="3"/>
  <c r="K21" i="3"/>
  <c r="C22" i="3"/>
  <c r="D22" i="3"/>
  <c r="E22" i="3"/>
  <c r="F22" i="3"/>
  <c r="G22" i="3"/>
  <c r="H22" i="3"/>
  <c r="I22" i="3"/>
  <c r="J22" i="3"/>
  <c r="K22" i="3"/>
  <c r="C23" i="3"/>
  <c r="D23" i="3"/>
  <c r="E23" i="3"/>
  <c r="F23" i="3"/>
  <c r="G23" i="3"/>
  <c r="I23" i="3"/>
  <c r="J23" i="3"/>
  <c r="C24" i="3"/>
  <c r="D24" i="3"/>
  <c r="E24" i="3"/>
  <c r="F24" i="3"/>
  <c r="G24" i="3"/>
  <c r="H24" i="3"/>
  <c r="I24" i="3"/>
  <c r="J24" i="3"/>
  <c r="K24" i="3"/>
  <c r="C25" i="3"/>
  <c r="D25" i="3"/>
  <c r="E25" i="3"/>
  <c r="F25" i="3"/>
  <c r="G25" i="3"/>
  <c r="I25" i="3"/>
  <c r="J25" i="3"/>
  <c r="K25" i="3"/>
  <c r="B16" i="3"/>
  <c r="B17" i="3"/>
  <c r="B18" i="3"/>
  <c r="B19" i="3"/>
  <c r="B21" i="3"/>
  <c r="B22" i="3"/>
  <c r="B23" i="3"/>
  <c r="B24" i="3"/>
  <c r="B25" i="3"/>
  <c r="B20" i="3"/>
  <c r="K26" i="4"/>
  <c r="J26" i="4"/>
  <c r="K25" i="4"/>
  <c r="J25" i="4"/>
  <c r="K24" i="4"/>
  <c r="J24" i="4"/>
  <c r="K23" i="4"/>
  <c r="J23" i="4"/>
  <c r="K22" i="4"/>
  <c r="J22" i="4"/>
  <c r="K21" i="4"/>
  <c r="J21" i="4"/>
  <c r="I26" i="4"/>
  <c r="H26" i="4"/>
  <c r="I25" i="4"/>
  <c r="H25" i="4"/>
  <c r="I24" i="4"/>
  <c r="H24" i="4"/>
  <c r="I23" i="4"/>
  <c r="H23" i="4"/>
  <c r="I22" i="4"/>
  <c r="H22" i="4"/>
  <c r="I21" i="4"/>
  <c r="H21" i="4"/>
  <c r="G29" i="4"/>
  <c r="F29" i="4"/>
  <c r="G28" i="4"/>
  <c r="F28" i="4"/>
  <c r="G27" i="4"/>
  <c r="F27" i="4"/>
  <c r="G26" i="4"/>
  <c r="G30" i="4" s="1"/>
  <c r="F26" i="4"/>
  <c r="E29" i="4"/>
  <c r="D29" i="4"/>
  <c r="C29" i="4"/>
  <c r="E28" i="4"/>
  <c r="D28" i="4"/>
  <c r="C28" i="4"/>
  <c r="E27" i="4"/>
  <c r="D27" i="4"/>
  <c r="C27" i="4"/>
  <c r="E26" i="4"/>
  <c r="D26" i="4"/>
  <c r="D30" i="4" s="1"/>
  <c r="C26" i="4"/>
  <c r="E25" i="4"/>
  <c r="D25" i="4"/>
  <c r="C25" i="4"/>
  <c r="E24" i="4"/>
  <c r="D24" i="4"/>
  <c r="C24" i="4"/>
  <c r="E23" i="4"/>
  <c r="D23" i="4"/>
  <c r="C23" i="4"/>
  <c r="B30" i="4"/>
  <c r="F30" i="4" l="1"/>
  <c r="L23" i="4"/>
  <c r="L25" i="4"/>
  <c r="L24" i="4"/>
  <c r="Q24" i="4" s="1"/>
  <c r="L27" i="4"/>
  <c r="E30" i="4"/>
  <c r="Q23" i="4" s="1"/>
  <c r="L26" i="4"/>
  <c r="L28" i="4"/>
  <c r="L29" i="4"/>
  <c r="J30" i="4"/>
  <c r="K30" i="4"/>
  <c r="H30" i="4"/>
  <c r="L22" i="4"/>
  <c r="Q22" i="4" s="1"/>
  <c r="L21" i="4"/>
  <c r="I30" i="4"/>
  <c r="C30" i="4"/>
  <c r="Q25" i="4"/>
  <c r="L20" i="4"/>
  <c r="Q20" i="4" s="1"/>
  <c r="Q26" i="4" l="1"/>
  <c r="Q28" i="4"/>
  <c r="Q27" i="4"/>
  <c r="Q29" i="4"/>
  <c r="Q21" i="4"/>
  <c r="AK7" i="2" l="1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I4" i="3"/>
  <c r="I5" i="3"/>
  <c r="I6" i="3"/>
  <c r="I7" i="3"/>
  <c r="I8" i="3"/>
  <c r="I9" i="3"/>
  <c r="I10" i="3"/>
  <c r="I11" i="3"/>
  <c r="I12" i="3"/>
  <c r="I3" i="3"/>
  <c r="H4" i="3"/>
  <c r="H5" i="3"/>
  <c r="H6" i="3"/>
  <c r="H7" i="3"/>
  <c r="H8" i="3"/>
  <c r="H9" i="3"/>
  <c r="H10" i="3"/>
  <c r="H11" i="3"/>
  <c r="H12" i="3"/>
  <c r="H3" i="3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E4" i="3"/>
  <c r="E5" i="3"/>
  <c r="E6" i="3"/>
  <c r="E7" i="3"/>
  <c r="E8" i="3"/>
  <c r="E9" i="3"/>
  <c r="E10" i="3"/>
  <c r="E11" i="3"/>
  <c r="E12" i="3"/>
  <c r="E3" i="3"/>
  <c r="D4" i="3"/>
  <c r="D5" i="3"/>
  <c r="D6" i="3"/>
  <c r="D7" i="3"/>
  <c r="D8" i="3"/>
  <c r="D9" i="3"/>
  <c r="D10" i="3"/>
  <c r="D11" i="3"/>
  <c r="D12" i="3"/>
  <c r="D3" i="3"/>
  <c r="C4" i="3"/>
  <c r="C5" i="3"/>
  <c r="C6" i="3"/>
  <c r="C7" i="3"/>
  <c r="C8" i="3"/>
  <c r="C9" i="3"/>
  <c r="C10" i="3"/>
  <c r="C11" i="3"/>
  <c r="C12" i="3"/>
  <c r="C3" i="3"/>
  <c r="B4" i="3"/>
  <c r="B5" i="3"/>
  <c r="B6" i="3"/>
  <c r="B7" i="3"/>
  <c r="B8" i="3"/>
  <c r="B9" i="3"/>
  <c r="B10" i="3"/>
  <c r="B11" i="3"/>
  <c r="B12" i="3"/>
  <c r="B3" i="3"/>
  <c r="B11" i="2"/>
  <c r="AO16" i="2"/>
  <c r="AK16" i="2"/>
  <c r="AF16" i="2"/>
  <c r="B16" i="2"/>
  <c r="AT15" i="2"/>
  <c r="AK15" i="2"/>
  <c r="AF15" i="2"/>
  <c r="B15" i="2"/>
  <c r="AT14" i="2"/>
  <c r="AO14" i="2"/>
  <c r="AF14" i="2"/>
  <c r="B14" i="2"/>
  <c r="B13" i="2"/>
  <c r="B12" i="2"/>
  <c r="B10" i="2"/>
  <c r="G9" i="2"/>
  <c r="B9" i="2"/>
  <c r="AA8" i="2"/>
  <c r="V8" i="2"/>
  <c r="Q8" i="2"/>
  <c r="L8" i="2"/>
  <c r="AT7" i="2"/>
  <c r="AO7" i="2"/>
  <c r="AF7" i="2"/>
  <c r="AA7" i="2"/>
  <c r="V7" i="2"/>
  <c r="Q7" i="2"/>
  <c r="L7" i="2"/>
  <c r="AA10" i="3" l="1"/>
  <c r="K23" i="3"/>
  <c r="K26" i="3" s="1"/>
  <c r="K31" i="3" s="1"/>
  <c r="K3" i="4" s="1"/>
  <c r="X12" i="3"/>
  <c r="H25" i="3"/>
  <c r="X10" i="3"/>
  <c r="H23" i="3"/>
  <c r="I26" i="3"/>
  <c r="I33" i="3" s="1"/>
  <c r="I5" i="4" s="1"/>
  <c r="J26" i="3"/>
  <c r="J30" i="3" s="1"/>
  <c r="J2" i="4" s="1"/>
  <c r="D26" i="3"/>
  <c r="D39" i="3" s="1"/>
  <c r="D11" i="4" s="1"/>
  <c r="E26" i="3"/>
  <c r="E34" i="3" s="1"/>
  <c r="E6" i="4" s="1"/>
  <c r="F26" i="3"/>
  <c r="F30" i="3" s="1"/>
  <c r="F2" i="4" s="1"/>
  <c r="H26" i="3" l="1"/>
  <c r="H30" i="3" s="1"/>
  <c r="H2" i="4" s="1"/>
  <c r="J33" i="3"/>
  <c r="J5" i="4" s="1"/>
  <c r="F33" i="3"/>
  <c r="F5" i="4" s="1"/>
  <c r="J38" i="3"/>
  <c r="J10" i="4" s="1"/>
  <c r="I39" i="3"/>
  <c r="I11" i="4" s="1"/>
  <c r="I38" i="3"/>
  <c r="I10" i="4" s="1"/>
  <c r="I31" i="3"/>
  <c r="I3" i="4" s="1"/>
  <c r="F31" i="3"/>
  <c r="F3" i="4" s="1"/>
  <c r="D38" i="3"/>
  <c r="D10" i="4" s="1"/>
  <c r="F39" i="3"/>
  <c r="F11" i="4" s="1"/>
  <c r="E33" i="3"/>
  <c r="E5" i="4" s="1"/>
  <c r="K39" i="3"/>
  <c r="K11" i="4" s="1"/>
  <c r="E31" i="3"/>
  <c r="E3" i="4" s="1"/>
  <c r="J35" i="3"/>
  <c r="J7" i="4" s="1"/>
  <c r="I34" i="3"/>
  <c r="I6" i="4" s="1"/>
  <c r="E37" i="3"/>
  <c r="E9" i="4" s="1"/>
  <c r="K34" i="3"/>
  <c r="K6" i="4" s="1"/>
  <c r="K33" i="3"/>
  <c r="K5" i="4" s="1"/>
  <c r="F35" i="3"/>
  <c r="F7" i="4" s="1"/>
  <c r="D37" i="3"/>
  <c r="D9" i="4" s="1"/>
  <c r="D31" i="3"/>
  <c r="D3" i="4" s="1"/>
  <c r="E39" i="3"/>
  <c r="E11" i="4" s="1"/>
  <c r="E38" i="3"/>
  <c r="E10" i="4" s="1"/>
  <c r="E32" i="3"/>
  <c r="E4" i="4" s="1"/>
  <c r="E36" i="3"/>
  <c r="E8" i="4" s="1"/>
  <c r="F38" i="3"/>
  <c r="F10" i="4" s="1"/>
  <c r="K38" i="3"/>
  <c r="K10" i="4" s="1"/>
  <c r="K30" i="3"/>
  <c r="K2" i="4" s="1"/>
  <c r="D36" i="3"/>
  <c r="D8" i="4" s="1"/>
  <c r="D30" i="3"/>
  <c r="D2" i="4" s="1"/>
  <c r="I36" i="3"/>
  <c r="I8" i="4" s="1"/>
  <c r="J32" i="3"/>
  <c r="J4" i="4" s="1"/>
  <c r="I32" i="3"/>
  <c r="I4" i="4" s="1"/>
  <c r="F36" i="3"/>
  <c r="F8" i="4" s="1"/>
  <c r="J37" i="3"/>
  <c r="J9" i="4" s="1"/>
  <c r="J36" i="3"/>
  <c r="J8" i="4" s="1"/>
  <c r="K35" i="3"/>
  <c r="K7" i="4" s="1"/>
  <c r="F37" i="3"/>
  <c r="F9" i="4" s="1"/>
  <c r="I35" i="3"/>
  <c r="I7" i="4" s="1"/>
  <c r="I30" i="3"/>
  <c r="I2" i="4" s="1"/>
  <c r="J39" i="3"/>
  <c r="J11" i="4" s="1"/>
  <c r="F34" i="3"/>
  <c r="F6" i="4" s="1"/>
  <c r="E35" i="3"/>
  <c r="E7" i="4" s="1"/>
  <c r="E30" i="3"/>
  <c r="E2" i="4" s="1"/>
  <c r="K36" i="3"/>
  <c r="K8" i="4" s="1"/>
  <c r="J34" i="3"/>
  <c r="J6" i="4" s="1"/>
  <c r="F32" i="3"/>
  <c r="K37" i="3"/>
  <c r="K9" i="4" s="1"/>
  <c r="D34" i="3"/>
  <c r="D6" i="4" s="1"/>
  <c r="I37" i="3"/>
  <c r="I9" i="4" s="1"/>
  <c r="J31" i="3"/>
  <c r="J3" i="4" s="1"/>
  <c r="B26" i="3"/>
  <c r="D35" i="3"/>
  <c r="D7" i="4" s="1"/>
  <c r="D33" i="3"/>
  <c r="D5" i="4" s="1"/>
  <c r="K32" i="3"/>
  <c r="K4" i="4" s="1"/>
  <c r="C26" i="3"/>
  <c r="C37" i="3" s="1"/>
  <c r="C9" i="4" s="1"/>
  <c r="D32" i="3"/>
  <c r="D4" i="4" s="1"/>
  <c r="G26" i="3"/>
  <c r="G32" i="3" s="1"/>
  <c r="G4" i="4" s="1"/>
  <c r="H32" i="3" l="1"/>
  <c r="H4" i="4" s="1"/>
  <c r="H39" i="3"/>
  <c r="H11" i="4" s="1"/>
  <c r="H33" i="3"/>
  <c r="H5" i="4" s="1"/>
  <c r="H34" i="3"/>
  <c r="H6" i="4" s="1"/>
  <c r="H35" i="3"/>
  <c r="H7" i="4" s="1"/>
  <c r="H36" i="3"/>
  <c r="H8" i="4" s="1"/>
  <c r="H37" i="3"/>
  <c r="H9" i="4" s="1"/>
  <c r="H38" i="3"/>
  <c r="H10" i="4" s="1"/>
  <c r="H31" i="3"/>
  <c r="H3" i="4" s="1"/>
  <c r="J12" i="4"/>
  <c r="D12" i="4"/>
  <c r="E12" i="4"/>
  <c r="I12" i="4"/>
  <c r="F40" i="3"/>
  <c r="F4" i="4"/>
  <c r="F12" i="4" s="1"/>
  <c r="K12" i="4"/>
  <c r="J40" i="3"/>
  <c r="E40" i="3"/>
  <c r="C30" i="3"/>
  <c r="C2" i="4" s="1"/>
  <c r="C34" i="3"/>
  <c r="C6" i="4" s="1"/>
  <c r="C32" i="3"/>
  <c r="C4" i="4" s="1"/>
  <c r="C39" i="3"/>
  <c r="C11" i="4" s="1"/>
  <c r="B30" i="3"/>
  <c r="B2" i="4" s="1"/>
  <c r="B33" i="3"/>
  <c r="B5" i="4" s="1"/>
  <c r="I40" i="3"/>
  <c r="D40" i="3"/>
  <c r="G31" i="3"/>
  <c r="G3" i="4" s="1"/>
  <c r="G39" i="3"/>
  <c r="G11" i="4" s="1"/>
  <c r="G34" i="3"/>
  <c r="G6" i="4" s="1"/>
  <c r="G33" i="3"/>
  <c r="G5" i="4" s="1"/>
  <c r="G35" i="3"/>
  <c r="G7" i="4" s="1"/>
  <c r="G36" i="3"/>
  <c r="G8" i="4" s="1"/>
  <c r="G30" i="3"/>
  <c r="G2" i="4" s="1"/>
  <c r="G38" i="3"/>
  <c r="G10" i="4" s="1"/>
  <c r="G37" i="3"/>
  <c r="G9" i="4" s="1"/>
  <c r="B36" i="3"/>
  <c r="B8" i="4" s="1"/>
  <c r="B31" i="3"/>
  <c r="B3" i="4" s="1"/>
  <c r="B34" i="3"/>
  <c r="B6" i="4" s="1"/>
  <c r="B35" i="3"/>
  <c r="B7" i="4" s="1"/>
  <c r="B32" i="3"/>
  <c r="B4" i="4" s="1"/>
  <c r="B37" i="3"/>
  <c r="B9" i="4" s="1"/>
  <c r="B38" i="3"/>
  <c r="B10" i="4" s="1"/>
  <c r="B39" i="3"/>
  <c r="B11" i="4" s="1"/>
  <c r="K40" i="3"/>
  <c r="C31" i="3"/>
  <c r="C3" i="4" s="1"/>
  <c r="C38" i="3"/>
  <c r="C10" i="4" s="1"/>
  <c r="C33" i="3"/>
  <c r="C5" i="4" s="1"/>
  <c r="C35" i="3"/>
  <c r="C7" i="4" s="1"/>
  <c r="C36" i="3"/>
  <c r="C8" i="4" s="1"/>
  <c r="H12" i="4" l="1"/>
  <c r="H40" i="3"/>
  <c r="L8" i="4"/>
  <c r="L11" i="4"/>
  <c r="Q11" i="4" s="1"/>
  <c r="C12" i="4"/>
  <c r="L5" i="4"/>
  <c r="Q5" i="4" s="1"/>
  <c r="L10" i="4"/>
  <c r="Q10" i="4" s="1"/>
  <c r="L9" i="4"/>
  <c r="Q9" i="4" s="1"/>
  <c r="L4" i="4"/>
  <c r="Q4" i="4" s="1"/>
  <c r="L7" i="4"/>
  <c r="L6" i="4"/>
  <c r="Q6" i="4" s="1"/>
  <c r="L3" i="4"/>
  <c r="G12" i="4"/>
  <c r="B12" i="4"/>
  <c r="L2" i="4"/>
  <c r="C40" i="3"/>
  <c r="B40" i="3"/>
  <c r="G40" i="3"/>
  <c r="Q8" i="4" l="1"/>
  <c r="Q2" i="4"/>
  <c r="S13" i="4" s="1"/>
  <c r="Q3" i="4"/>
  <c r="Q7" i="4"/>
  <c r="Q13" i="4" l="1"/>
</calcChain>
</file>

<file path=xl/sharedStrings.xml><?xml version="1.0" encoding="utf-8"?>
<sst xmlns="http://schemas.openxmlformats.org/spreadsheetml/2006/main" count="496" uniqueCount="120">
  <si>
    <t>AMS</t>
  </si>
  <si>
    <t>MIA</t>
  </si>
  <si>
    <t>BOG</t>
  </si>
  <si>
    <t>UIO</t>
  </si>
  <si>
    <t>VCP</t>
  </si>
  <si>
    <t>EZE</t>
  </si>
  <si>
    <t>CAI</t>
  </si>
  <si>
    <t>JNB</t>
  </si>
  <si>
    <t>NBO</t>
  </si>
  <si>
    <t>HRE</t>
  </si>
  <si>
    <t>All intra AF via AMS</t>
  </si>
  <si>
    <t>ORIGIN</t>
  </si>
  <si>
    <t>DESTINATION</t>
  </si>
  <si>
    <t>Score increased due to nature of schedule</t>
  </si>
  <si>
    <t>Score decreased due to nature of schedule</t>
  </si>
  <si>
    <t>*</t>
  </si>
  <si>
    <t>no significatnt data availbale on the OD pair</t>
  </si>
  <si>
    <t>cargo data: (thousand tonnes)</t>
  </si>
  <si>
    <t>rating based on cargo data:</t>
  </si>
  <si>
    <t>rating based on cargo data</t>
  </si>
  <si>
    <t>adj. rating:</t>
  </si>
  <si>
    <t>rating:</t>
  </si>
  <si>
    <t>A</t>
  </si>
  <si>
    <t>B</t>
  </si>
  <si>
    <t>C</t>
  </si>
  <si>
    <t>AA</t>
  </si>
  <si>
    <t>D</t>
  </si>
  <si>
    <t>E</t>
  </si>
  <si>
    <t>soucre:</t>
  </si>
  <si>
    <t>Boeing World Cargo Forecast</t>
  </si>
  <si>
    <t>highlighting legend:</t>
  </si>
  <si>
    <t>All intra SA via AMS</t>
  </si>
  <si>
    <t>AFRICA</t>
  </si>
  <si>
    <t>All intra SA via MIA</t>
  </si>
  <si>
    <t>exports africa to europe</t>
  </si>
  <si>
    <t>imports europe to africa</t>
  </si>
  <si>
    <t>general africa markets</t>
  </si>
  <si>
    <t>east africa (NBO)</t>
  </si>
  <si>
    <t>kenya (NBO)</t>
  </si>
  <si>
    <t xml:space="preserve">1 of 2 Intra SA via MIA </t>
  </si>
  <si>
    <t>north africa (CAI)</t>
  </si>
  <si>
    <t>egypt (CAI)</t>
  </si>
  <si>
    <t>2 of 3 MIA-SA via AMS</t>
  </si>
  <si>
    <t>south africa (HRE, JNB)</t>
  </si>
  <si>
    <t>south africa (JNB)</t>
  </si>
  <si>
    <t>MIA-SA via AMS</t>
  </si>
  <si>
    <t>JNB 6%; HRE 4%</t>
  </si>
  <si>
    <t>JNB 15%; HRE 7%</t>
  </si>
  <si>
    <t xml:space="preserve">zimbabwe (HRE) </t>
  </si>
  <si>
    <t>???</t>
  </si>
  <si>
    <t>africa to europe tonnes:</t>
  </si>
  <si>
    <t>europe to africa tonnes</t>
  </si>
  <si>
    <t>intra-africa tonnes (excluding domestic)</t>
  </si>
  <si>
    <t>880 000</t>
  </si>
  <si>
    <t>689 000</t>
  </si>
  <si>
    <t>326 000</t>
  </si>
  <si>
    <t>NORTH-AMERICA - EUROPE</t>
  </si>
  <si>
    <t>general north-america - europe markets</t>
  </si>
  <si>
    <t>germany</t>
  </si>
  <si>
    <t>uk</t>
  </si>
  <si>
    <t>italy</t>
  </si>
  <si>
    <t>france</t>
  </si>
  <si>
    <t>nl (AMS)</t>
  </si>
  <si>
    <t>north-america to europe tonnes</t>
  </si>
  <si>
    <t>europe to north-america tonnes</t>
  </si>
  <si>
    <t>1.5 M</t>
  </si>
  <si>
    <t>2.1 M</t>
  </si>
  <si>
    <t>LATIN-AMERICA EUROPE</t>
  </si>
  <si>
    <t>general latin-america europe markets</t>
  </si>
  <si>
    <t xml:space="preserve">south america: </t>
  </si>
  <si>
    <t>560 000 tonnes (67%)</t>
  </si>
  <si>
    <t>central america:</t>
  </si>
  <si>
    <t>254 000 tonnes (23%)</t>
  </si>
  <si>
    <t>caribbean: …</t>
  </si>
  <si>
    <t>brazil (VCP)</t>
  </si>
  <si>
    <t>mexico</t>
  </si>
  <si>
    <t>colombia (BOG)</t>
  </si>
  <si>
    <t xml:space="preserve">panama </t>
  </si>
  <si>
    <t>ecuador (UIO)</t>
  </si>
  <si>
    <t>costa rica</t>
  </si>
  <si>
    <t>argentina (EZE)</t>
  </si>
  <si>
    <t>guatemala (GUA)</t>
  </si>
  <si>
    <t>chile (SCL)</t>
  </si>
  <si>
    <t>latin-america to europe tonnes</t>
  </si>
  <si>
    <t>europe to latin-america tonnes</t>
  </si>
  <si>
    <t>417 000</t>
  </si>
  <si>
    <t>463 000</t>
  </si>
  <si>
    <t>LATIN-AMERICA NORTH-AMERICA</t>
  </si>
  <si>
    <t>general latin-america north-america martkets</t>
  </si>
  <si>
    <t>south america:</t>
  </si>
  <si>
    <t>1 220 000 tonnes (75%)</t>
  </si>
  <si>
    <t xml:space="preserve">central america: </t>
  </si>
  <si>
    <t>300 000 tonnes (19%)</t>
  </si>
  <si>
    <t>latin-america to north-america tonnes</t>
  </si>
  <si>
    <t>north-america to latin-america tonnes</t>
  </si>
  <si>
    <t>intra-latin america tonnes</t>
  </si>
  <si>
    <t>1 060 000</t>
  </si>
  <si>
    <t>575 000</t>
  </si>
  <si>
    <t>OD PAIR RATING BASED ON HISTORIC CARGO FLOW DATA AND NATURE OF FLIGHT PATHS:</t>
  </si>
  <si>
    <t>NUMERICAL SCORES:</t>
  </si>
  <si>
    <t>+++</t>
  </si>
  <si>
    <t>++</t>
  </si>
  <si>
    <t>+</t>
  </si>
  <si>
    <t>±</t>
  </si>
  <si>
    <t>-</t>
  </si>
  <si>
    <t>--</t>
  </si>
  <si>
    <t>---</t>
  </si>
  <si>
    <t>F</t>
  </si>
  <si>
    <t>ADJUSTED SCORE OF OD PAIRS:</t>
  </si>
  <si>
    <t>totals</t>
  </si>
  <si>
    <t>PERCENTAGES of DEMAND per OD PAIR:</t>
  </si>
  <si>
    <t>total import</t>
  </si>
  <si>
    <t>n.o. flight arrivials:</t>
  </si>
  <si>
    <t>IMPORT VS EXPORT %</t>
  </si>
  <si>
    <t>total export</t>
  </si>
  <si>
    <t>guess:</t>
  </si>
  <si>
    <t>guess: 10%</t>
  </si>
  <si>
    <t>AAA</t>
  </si>
  <si>
    <t>NUMBER OF DISTINCT DIRECT AND INDIRECT FLIGHT PATHS:</t>
  </si>
  <si>
    <t>++++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</si>
</sst>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ptos Narrow"/>
      <family val="2"/>
      <scheme val="minor"/>
    </font>
    <font>
      <sz val="10"/>
      <color rgb="FF20212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2" borderId="0" xfId="0" applyFill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/>
    <xf numFmtId="49" fontId="0" fillId="0" borderId="1" xfId="0" applyNumberFormat="1" applyBorder="1"/>
    <xf numFmtId="49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5" borderId="0" xfId="0" applyFill="1"/>
    <xf numFmtId="0" fontId="6" fillId="0" borderId="0" xfId="0" applyFont="1"/>
    <xf numFmtId="0" fontId="2" fillId="4" borderId="0" xfId="0" applyFont="1" applyFill="1"/>
    <xf numFmtId="0" fontId="0" fillId="9" borderId="0" xfId="0" applyFill="1"/>
    <xf numFmtId="0" fontId="2" fillId="4" borderId="0" xfId="0" applyFont="1" applyFill="1" applyAlignment="1">
      <alignment horizontal="left"/>
    </xf>
    <xf numFmtId="0" fontId="2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/>
    <xf numFmtId="0" fontId="7" fillId="0" borderId="0" xfId="0" applyFont="1"/>
    <xf numFmtId="9" fontId="0" fillId="0" borderId="0" xfId="0" applyNumberFormat="1"/>
    <xf numFmtId="0" fontId="3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49" fontId="0" fillId="0" borderId="0" xfId="0" quotePrefix="1" applyNumberFormat="1"/>
    <xf numFmtId="0" fontId="0" fillId="0" borderId="0" xfId="0" quotePrefix="1"/>
    <xf numFmtId="49" fontId="8" fillId="0" borderId="0" xfId="0" applyNumberFormat="1" applyFont="1"/>
    <xf numFmtId="0" fontId="0" fillId="10" borderId="0" xfId="0" applyFill="1"/>
    <xf numFmtId="0" fontId="5" fillId="10" borderId="0" xfId="0" applyFont="1" applyFill="1"/>
    <xf numFmtId="10" fontId="0" fillId="0" borderId="0" xfId="0" applyNumberFormat="1"/>
    <xf numFmtId="0" fontId="0" fillId="0" borderId="0" xfId="0" applyAlignment="1">
      <alignment horizontal="left" wrapText="1"/>
    </xf>
    <xf numFmtId="0" fontId="5" fillId="0" borderId="0" xfId="0" quotePrefix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13</xdr:row>
      <xdr:rowOff>107950</xdr:rowOff>
    </xdr:from>
    <xdr:to>
      <xdr:col>15</xdr:col>
      <xdr:colOff>12700</xdr:colOff>
      <xdr:row>43</xdr:row>
      <xdr:rowOff>71120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C009753F-5EAA-E8F4-FC13-96F927A742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700" y="2501900"/>
          <a:ext cx="9144000" cy="54876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264809</xdr:colOff>
      <xdr:row>5</xdr:row>
      <xdr:rowOff>10808</xdr:rowOff>
    </xdr:from>
    <xdr:to>
      <xdr:col>2</xdr:col>
      <xdr:colOff>264809</xdr:colOff>
      <xdr:row>6</xdr:row>
      <xdr:rowOff>6837</xdr:rowOff>
    </xdr:to>
    <xdr:cxnSp macro="">
      <xdr:nvCxnSpPr>
        <xdr:cNvPr id="2" name="Rechte verbindingslijn met pijl 1">
          <a:extLst>
            <a:ext uri="{FF2B5EF4-FFF2-40B4-BE49-F238E27FC236}">
              <a16:creationId xmlns:a16="http://schemas.microsoft.com/office/drawing/2014/main" id="{D428F5DE-65E6-4FAA-A496-38161B97F6CE}"/>
            </a:ext>
          </a:extLst>
        </xdr:cNvPr>
        <xdr:cNvCxnSpPr/>
      </xdr:nvCxnSpPr>
      <xdr:spPr>
        <a:xfrm>
          <a:off x="160465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264809</xdr:colOff>
      <xdr:row>5</xdr:row>
      <xdr:rowOff>10808</xdr:rowOff>
    </xdr:from>
    <xdr:to>
      <xdr:col>7</xdr:col>
      <xdr:colOff>264809</xdr:colOff>
      <xdr:row>6</xdr:row>
      <xdr:rowOff>6837</xdr:rowOff>
    </xdr:to>
    <xdr:cxnSp macro="">
      <xdr:nvCxnSpPr>
        <xdr:cNvPr id="3" name="Rechte verbindingslijn met pijl 2">
          <a:extLst>
            <a:ext uri="{FF2B5EF4-FFF2-40B4-BE49-F238E27FC236}">
              <a16:creationId xmlns:a16="http://schemas.microsoft.com/office/drawing/2014/main" id="{6FC56D1A-6FC4-4AB6-A407-88EBD4F346E9}"/>
            </a:ext>
          </a:extLst>
        </xdr:cNvPr>
        <xdr:cNvCxnSpPr/>
      </xdr:nvCxnSpPr>
      <xdr:spPr>
        <a:xfrm>
          <a:off x="483680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264809</xdr:colOff>
      <xdr:row>5</xdr:row>
      <xdr:rowOff>10808</xdr:rowOff>
    </xdr:from>
    <xdr:to>
      <xdr:col>12</xdr:col>
      <xdr:colOff>264809</xdr:colOff>
      <xdr:row>6</xdr:row>
      <xdr:rowOff>6837</xdr:rowOff>
    </xdr:to>
    <xdr:cxnSp macro="">
      <xdr:nvCxnSpPr>
        <xdr:cNvPr id="4" name="Rechte verbindingslijn met pijl 3">
          <a:extLst>
            <a:ext uri="{FF2B5EF4-FFF2-40B4-BE49-F238E27FC236}">
              <a16:creationId xmlns:a16="http://schemas.microsoft.com/office/drawing/2014/main" id="{3CFC0BCE-4FF3-44E4-AED1-667904BFE809}"/>
            </a:ext>
          </a:extLst>
        </xdr:cNvPr>
        <xdr:cNvCxnSpPr/>
      </xdr:nvCxnSpPr>
      <xdr:spPr>
        <a:xfrm>
          <a:off x="804355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264809</xdr:colOff>
      <xdr:row>5</xdr:row>
      <xdr:rowOff>10808</xdr:rowOff>
    </xdr:from>
    <xdr:to>
      <xdr:col>17</xdr:col>
      <xdr:colOff>264809</xdr:colOff>
      <xdr:row>6</xdr:row>
      <xdr:rowOff>6837</xdr:rowOff>
    </xdr:to>
    <xdr:cxnSp macro="">
      <xdr:nvCxnSpPr>
        <xdr:cNvPr id="5" name="Rechte verbindingslijn met pijl 4">
          <a:extLst>
            <a:ext uri="{FF2B5EF4-FFF2-40B4-BE49-F238E27FC236}">
              <a16:creationId xmlns:a16="http://schemas.microsoft.com/office/drawing/2014/main" id="{48C273DF-B675-491C-BA20-C2222BEF2E2F}"/>
            </a:ext>
          </a:extLst>
        </xdr:cNvPr>
        <xdr:cNvCxnSpPr/>
      </xdr:nvCxnSpPr>
      <xdr:spPr>
        <a:xfrm>
          <a:off x="1118045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264809</xdr:colOff>
      <xdr:row>5</xdr:row>
      <xdr:rowOff>10808</xdr:rowOff>
    </xdr:from>
    <xdr:to>
      <xdr:col>22</xdr:col>
      <xdr:colOff>264809</xdr:colOff>
      <xdr:row>6</xdr:row>
      <xdr:rowOff>6837</xdr:rowOff>
    </xdr:to>
    <xdr:cxnSp macro="">
      <xdr:nvCxnSpPr>
        <xdr:cNvPr id="7" name="Rechte verbindingslijn met pijl 6">
          <a:extLst>
            <a:ext uri="{FF2B5EF4-FFF2-40B4-BE49-F238E27FC236}">
              <a16:creationId xmlns:a16="http://schemas.microsoft.com/office/drawing/2014/main" id="{ED5D9C5A-6E7B-4CED-B2D7-94CB3C0E54CB}"/>
            </a:ext>
          </a:extLst>
        </xdr:cNvPr>
        <xdr:cNvCxnSpPr/>
      </xdr:nvCxnSpPr>
      <xdr:spPr>
        <a:xfrm>
          <a:off x="1742250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264809</xdr:colOff>
      <xdr:row>5</xdr:row>
      <xdr:rowOff>10808</xdr:rowOff>
    </xdr:from>
    <xdr:to>
      <xdr:col>27</xdr:col>
      <xdr:colOff>264809</xdr:colOff>
      <xdr:row>6</xdr:row>
      <xdr:rowOff>6837</xdr:rowOff>
    </xdr:to>
    <xdr:cxnSp macro="">
      <xdr:nvCxnSpPr>
        <xdr:cNvPr id="8" name="Rechte verbindingslijn met pijl 7">
          <a:extLst>
            <a:ext uri="{FF2B5EF4-FFF2-40B4-BE49-F238E27FC236}">
              <a16:creationId xmlns:a16="http://schemas.microsoft.com/office/drawing/2014/main" id="{18EAFDCF-266B-46B5-B29E-997E1ADBAF45}"/>
            </a:ext>
          </a:extLst>
        </xdr:cNvPr>
        <xdr:cNvCxnSpPr/>
      </xdr:nvCxnSpPr>
      <xdr:spPr>
        <a:xfrm>
          <a:off x="2055305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264809</xdr:colOff>
      <xdr:row>5</xdr:row>
      <xdr:rowOff>10808</xdr:rowOff>
    </xdr:from>
    <xdr:to>
      <xdr:col>32</xdr:col>
      <xdr:colOff>264809</xdr:colOff>
      <xdr:row>6</xdr:row>
      <xdr:rowOff>6837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824546CA-A679-426E-9CB1-830D4B6EED31}"/>
            </a:ext>
          </a:extLst>
        </xdr:cNvPr>
        <xdr:cNvCxnSpPr/>
      </xdr:nvCxnSpPr>
      <xdr:spPr>
        <a:xfrm>
          <a:off x="2679510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264809</xdr:colOff>
      <xdr:row>5</xdr:row>
      <xdr:rowOff>10808</xdr:rowOff>
    </xdr:from>
    <xdr:to>
      <xdr:col>41</xdr:col>
      <xdr:colOff>264809</xdr:colOff>
      <xdr:row>6</xdr:row>
      <xdr:rowOff>6837</xdr:rowOff>
    </xdr:to>
    <xdr:cxnSp macro="">
      <xdr:nvCxnSpPr>
        <xdr:cNvPr id="11" name="Rechte verbindingslijn met pijl 10">
          <a:extLst>
            <a:ext uri="{FF2B5EF4-FFF2-40B4-BE49-F238E27FC236}">
              <a16:creationId xmlns:a16="http://schemas.microsoft.com/office/drawing/2014/main" id="{B0023E47-5246-4975-A8FA-AF22B37BDB10}"/>
            </a:ext>
          </a:extLst>
        </xdr:cNvPr>
        <xdr:cNvCxnSpPr/>
      </xdr:nvCxnSpPr>
      <xdr:spPr>
        <a:xfrm>
          <a:off x="3246565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264809</xdr:colOff>
      <xdr:row>5</xdr:row>
      <xdr:rowOff>10808</xdr:rowOff>
    </xdr:from>
    <xdr:to>
      <xdr:col>46</xdr:col>
      <xdr:colOff>264809</xdr:colOff>
      <xdr:row>6</xdr:row>
      <xdr:rowOff>6837</xdr:rowOff>
    </xdr:to>
    <xdr:cxnSp macro="">
      <xdr:nvCxnSpPr>
        <xdr:cNvPr id="12" name="Rechte verbindingslijn met pijl 11">
          <a:extLst>
            <a:ext uri="{FF2B5EF4-FFF2-40B4-BE49-F238E27FC236}">
              <a16:creationId xmlns:a16="http://schemas.microsoft.com/office/drawing/2014/main" id="{664CB54A-BCF2-4975-A342-AE984F2BDECA}"/>
            </a:ext>
          </a:extLst>
        </xdr:cNvPr>
        <xdr:cNvCxnSpPr/>
      </xdr:nvCxnSpPr>
      <xdr:spPr>
        <a:xfrm>
          <a:off x="35640659" y="930288"/>
          <a:ext cx="0" cy="402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4D7C-EDE1-4E4A-9277-ED4E69C2767B}">
  <dimension ref="A1:N12"/>
  <sheetViews>
    <sheetView zoomScale="115" zoomScaleNormal="115" workbookViewId="0">
      <selection activeCell="G8" sqref="G8"/>
    </sheetView>
  </sheetViews>
  <sheetFormatPr defaultRowHeight="14.4" x14ac:dyDescent="0.3"/>
  <sheetData>
    <row r="1" spans="1:14" x14ac:dyDescent="0.3">
      <c r="A1" s="1" t="s">
        <v>118</v>
      </c>
    </row>
    <row r="2" spans="1:14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4" x14ac:dyDescent="0.3">
      <c r="A3" s="4" t="s">
        <v>0</v>
      </c>
      <c r="B3">
        <v>0</v>
      </c>
      <c r="C3">
        <v>2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</row>
    <row r="4" spans="1:14" x14ac:dyDescent="0.3">
      <c r="A4" s="4" t="s">
        <v>1</v>
      </c>
      <c r="B4">
        <v>2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</row>
    <row r="5" spans="1:14" x14ac:dyDescent="0.3">
      <c r="A5" s="4" t="s">
        <v>2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s="2" t="s">
        <v>10</v>
      </c>
      <c r="N5" s="2"/>
    </row>
    <row r="6" spans="1:14" x14ac:dyDescent="0.3">
      <c r="A6" s="4" t="s">
        <v>3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</row>
    <row r="7" spans="1:14" x14ac:dyDescent="0.3">
      <c r="A7" s="4" t="s">
        <v>4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 x14ac:dyDescent="0.3">
      <c r="A8" s="4" t="s">
        <v>5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M8" s="3" t="s">
        <v>11</v>
      </c>
    </row>
    <row r="9" spans="1:14" x14ac:dyDescent="0.3">
      <c r="A9" s="4" t="s">
        <v>6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s="4" t="s">
        <v>12</v>
      </c>
    </row>
    <row r="10" spans="1:14" x14ac:dyDescent="0.3">
      <c r="A10" s="4" t="s">
        <v>7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</v>
      </c>
      <c r="I10">
        <v>0</v>
      </c>
      <c r="J10" s="2">
        <v>1</v>
      </c>
      <c r="K10">
        <v>0</v>
      </c>
    </row>
    <row r="11" spans="1:14" x14ac:dyDescent="0.3">
      <c r="A11" s="4" t="s">
        <v>8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</row>
    <row r="12" spans="1:14" x14ac:dyDescent="0.3">
      <c r="A12" s="4" t="s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</v>
      </c>
      <c r="I12">
        <v>1</v>
      </c>
      <c r="J12" s="2">
        <v>1</v>
      </c>
      <c r="K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B855-C818-42BD-B15F-E003103141AC}">
  <dimension ref="A1:AV63"/>
  <sheetViews>
    <sheetView zoomScaleNormal="100" workbookViewId="0">
      <selection activeCell="C10" sqref="C10"/>
    </sheetView>
  </sheetViews>
  <sheetFormatPr defaultRowHeight="14.4" x14ac:dyDescent="0.3"/>
  <sheetData>
    <row r="1" spans="1:48" x14ac:dyDescent="0.3">
      <c r="A1" s="3" t="s">
        <v>11</v>
      </c>
      <c r="F1" s="6" t="s">
        <v>13</v>
      </c>
      <c r="G1" s="6"/>
      <c r="H1" s="6"/>
      <c r="I1" s="6"/>
    </row>
    <row r="2" spans="1:48" x14ac:dyDescent="0.3">
      <c r="A2" s="4" t="s">
        <v>12</v>
      </c>
      <c r="F2" s="7" t="s">
        <v>14</v>
      </c>
      <c r="G2" s="7"/>
      <c r="H2" s="7"/>
      <c r="I2" s="7"/>
    </row>
    <row r="3" spans="1:48" x14ac:dyDescent="0.3">
      <c r="A3" t="s">
        <v>15</v>
      </c>
      <c r="B3" t="s">
        <v>16</v>
      </c>
    </row>
    <row r="5" spans="1:48" x14ac:dyDescent="0.3">
      <c r="A5" s="8" t="s">
        <v>0</v>
      </c>
      <c r="B5" s="37" t="s">
        <v>17</v>
      </c>
      <c r="C5" t="s">
        <v>18</v>
      </c>
      <c r="E5" s="10"/>
      <c r="F5" s="3" t="s">
        <v>1</v>
      </c>
      <c r="G5" s="37" t="s">
        <v>17</v>
      </c>
      <c r="H5" t="s">
        <v>19</v>
      </c>
      <c r="J5" s="10"/>
      <c r="K5" s="8" t="s">
        <v>2</v>
      </c>
      <c r="L5" s="37" t="s">
        <v>17</v>
      </c>
      <c r="M5" t="s">
        <v>19</v>
      </c>
      <c r="O5" s="10"/>
      <c r="P5" s="3" t="s">
        <v>3</v>
      </c>
      <c r="Q5" s="37" t="s">
        <v>17</v>
      </c>
      <c r="R5" t="s">
        <v>19</v>
      </c>
      <c r="T5" s="10"/>
      <c r="U5" s="3" t="s">
        <v>4</v>
      </c>
      <c r="V5" s="37" t="s">
        <v>17</v>
      </c>
      <c r="W5" t="s">
        <v>19</v>
      </c>
      <c r="Y5" s="10"/>
      <c r="Z5" s="3" t="s">
        <v>5</v>
      </c>
      <c r="AA5" s="37" t="s">
        <v>17</v>
      </c>
      <c r="AB5" t="s">
        <v>19</v>
      </c>
      <c r="AD5" s="10"/>
      <c r="AE5" s="3" t="s">
        <v>6</v>
      </c>
      <c r="AF5" s="37" t="s">
        <v>17</v>
      </c>
      <c r="AG5" t="s">
        <v>19</v>
      </c>
      <c r="AI5" s="10"/>
      <c r="AJ5" s="3" t="s">
        <v>7</v>
      </c>
      <c r="AK5" s="37" t="s">
        <v>17</v>
      </c>
      <c r="AM5" s="10"/>
      <c r="AN5" s="3" t="s">
        <v>8</v>
      </c>
      <c r="AO5" s="37" t="s">
        <v>17</v>
      </c>
      <c r="AP5" t="s">
        <v>19</v>
      </c>
      <c r="AR5" s="10"/>
      <c r="AS5" s="3" t="s">
        <v>9</v>
      </c>
      <c r="AT5" s="37" t="s">
        <v>17</v>
      </c>
      <c r="AU5" t="s">
        <v>19</v>
      </c>
    </row>
    <row r="6" spans="1:48" x14ac:dyDescent="0.3">
      <c r="B6" s="37"/>
      <c r="D6" s="1" t="s">
        <v>20</v>
      </c>
      <c r="E6" s="10"/>
      <c r="G6" s="37"/>
      <c r="I6" s="1" t="s">
        <v>20</v>
      </c>
      <c r="J6" s="10"/>
      <c r="K6" s="9"/>
      <c r="L6" s="37"/>
      <c r="N6" s="1" t="s">
        <v>20</v>
      </c>
      <c r="O6" s="10"/>
      <c r="Q6" s="37"/>
      <c r="S6" s="1" t="s">
        <v>20</v>
      </c>
      <c r="T6" s="10"/>
      <c r="V6" s="37"/>
      <c r="X6" s="1" t="s">
        <v>20</v>
      </c>
      <c r="Y6" s="10"/>
      <c r="AA6" s="37"/>
      <c r="AC6" s="1" t="s">
        <v>20</v>
      </c>
      <c r="AD6" s="10"/>
      <c r="AF6" s="37"/>
      <c r="AH6" s="1" t="s">
        <v>20</v>
      </c>
      <c r="AI6" s="10"/>
      <c r="AK6" s="37"/>
      <c r="AL6" t="s">
        <v>21</v>
      </c>
      <c r="AM6" s="10"/>
      <c r="AO6" s="37"/>
      <c r="AQ6" s="1" t="s">
        <v>20</v>
      </c>
      <c r="AR6" s="10"/>
      <c r="AT6" s="37"/>
      <c r="AV6" s="1" t="s">
        <v>20</v>
      </c>
    </row>
    <row r="7" spans="1:48" x14ac:dyDescent="0.3">
      <c r="A7" s="4" t="s">
        <v>0</v>
      </c>
      <c r="B7">
        <v>0</v>
      </c>
      <c r="C7">
        <v>0</v>
      </c>
      <c r="D7" s="1">
        <v>0</v>
      </c>
      <c r="E7" s="10"/>
      <c r="F7" s="4" t="s">
        <v>0</v>
      </c>
      <c r="G7" t="s">
        <v>15</v>
      </c>
      <c r="H7" t="s">
        <v>22</v>
      </c>
      <c r="I7" s="1" t="s">
        <v>22</v>
      </c>
      <c r="J7" s="11"/>
      <c r="K7" s="4" t="s">
        <v>0</v>
      </c>
      <c r="L7">
        <f>0.67*0.12*417</f>
        <v>33.526800000000001</v>
      </c>
      <c r="M7" t="s">
        <v>23</v>
      </c>
      <c r="N7" s="1" t="s">
        <v>23</v>
      </c>
      <c r="O7" s="11"/>
      <c r="P7" s="4" t="s">
        <v>0</v>
      </c>
      <c r="Q7">
        <f>0.67*0.09*417</f>
        <v>25.145099999999999</v>
      </c>
      <c r="R7" t="s">
        <v>23</v>
      </c>
      <c r="S7" s="1" t="s">
        <v>23</v>
      </c>
      <c r="T7" s="11"/>
      <c r="U7" s="4" t="s">
        <v>0</v>
      </c>
      <c r="V7">
        <f>0.67*0.53*417</f>
        <v>148.07670000000002</v>
      </c>
      <c r="W7" t="s">
        <v>22</v>
      </c>
      <c r="X7" s="1" t="s">
        <v>22</v>
      </c>
      <c r="Y7" s="11"/>
      <c r="Z7" s="4" t="s">
        <v>0</v>
      </c>
      <c r="AA7">
        <f>0.67*0.09*417</f>
        <v>25.145099999999999</v>
      </c>
      <c r="AB7" t="s">
        <v>23</v>
      </c>
      <c r="AC7" s="1" t="s">
        <v>23</v>
      </c>
      <c r="AD7" s="11"/>
      <c r="AE7" s="4" t="s">
        <v>0</v>
      </c>
      <c r="AF7">
        <f>880*0.19</f>
        <v>167.2</v>
      </c>
      <c r="AG7" s="14" t="s">
        <v>25</v>
      </c>
      <c r="AH7" s="13" t="s">
        <v>25</v>
      </c>
      <c r="AI7" s="11"/>
      <c r="AJ7" s="4" t="s">
        <v>0</v>
      </c>
      <c r="AK7" s="15">
        <f>880*0.06</f>
        <v>52.8</v>
      </c>
      <c r="AL7" s="1" t="s">
        <v>22</v>
      </c>
      <c r="AM7" s="11"/>
      <c r="AN7" s="4" t="s">
        <v>0</v>
      </c>
      <c r="AO7">
        <f>880*0.57</f>
        <v>501.59999999999997</v>
      </c>
      <c r="AP7" t="s">
        <v>25</v>
      </c>
      <c r="AQ7" s="1" t="s">
        <v>25</v>
      </c>
      <c r="AR7" s="11"/>
      <c r="AS7" s="4" t="s">
        <v>0</v>
      </c>
      <c r="AT7">
        <f>880*0.04</f>
        <v>35.200000000000003</v>
      </c>
      <c r="AU7" t="s">
        <v>22</v>
      </c>
      <c r="AV7" s="1" t="s">
        <v>22</v>
      </c>
    </row>
    <row r="8" spans="1:48" x14ac:dyDescent="0.3">
      <c r="A8" s="4" t="s">
        <v>1</v>
      </c>
      <c r="B8" t="s">
        <v>15</v>
      </c>
      <c r="C8" t="s">
        <v>22</v>
      </c>
      <c r="D8" s="1" t="s">
        <v>22</v>
      </c>
      <c r="E8" s="10"/>
      <c r="F8" s="4" t="s">
        <v>1</v>
      </c>
      <c r="G8">
        <v>0</v>
      </c>
      <c r="H8">
        <v>0</v>
      </c>
      <c r="I8" s="1">
        <v>0</v>
      </c>
      <c r="J8" s="10"/>
      <c r="K8" s="4" t="s">
        <v>1</v>
      </c>
      <c r="L8">
        <f>0.26*0.75*1060</f>
        <v>206.70000000000002</v>
      </c>
      <c r="M8" t="s">
        <v>25</v>
      </c>
      <c r="N8" s="1" t="s">
        <v>25</v>
      </c>
      <c r="O8" s="10"/>
      <c r="P8" s="4" t="s">
        <v>1</v>
      </c>
      <c r="Q8">
        <f>0.09*0.75*1060</f>
        <v>71.550000000000011</v>
      </c>
      <c r="R8" t="s">
        <v>22</v>
      </c>
      <c r="S8" s="1" t="s">
        <v>22</v>
      </c>
      <c r="T8" s="10"/>
      <c r="U8" s="4" t="s">
        <v>1</v>
      </c>
      <c r="V8">
        <f>0.19*0.75*1060</f>
        <v>151.05000000000001</v>
      </c>
      <c r="W8" s="5" t="s">
        <v>22</v>
      </c>
      <c r="X8" s="1" t="s">
        <v>22</v>
      </c>
      <c r="Y8" s="10"/>
      <c r="Z8" s="4" t="s">
        <v>1</v>
      </c>
      <c r="AA8">
        <f>0.08*0.75*1060</f>
        <v>63.599999999999994</v>
      </c>
      <c r="AB8" t="s">
        <v>22</v>
      </c>
      <c r="AC8" s="1" t="s">
        <v>22</v>
      </c>
      <c r="AD8" s="10"/>
      <c r="AE8" s="4" t="s">
        <v>1</v>
      </c>
      <c r="AF8">
        <v>0</v>
      </c>
      <c r="AG8" s="22">
        <v>0</v>
      </c>
      <c r="AH8" s="23">
        <v>0</v>
      </c>
      <c r="AI8" s="10"/>
      <c r="AJ8" s="4" t="s">
        <v>1</v>
      </c>
      <c r="AK8" s="22">
        <v>0</v>
      </c>
      <c r="AL8" s="23">
        <v>0</v>
      </c>
      <c r="AM8" s="10"/>
      <c r="AN8" s="4" t="s">
        <v>1</v>
      </c>
      <c r="AO8">
        <v>0</v>
      </c>
      <c r="AP8" s="22">
        <v>0</v>
      </c>
      <c r="AQ8" s="23">
        <v>0</v>
      </c>
      <c r="AR8" s="10"/>
      <c r="AS8" s="4" t="s">
        <v>1</v>
      </c>
      <c r="AT8">
        <v>0</v>
      </c>
      <c r="AU8" s="22">
        <v>0</v>
      </c>
      <c r="AV8" s="23">
        <v>0</v>
      </c>
    </row>
    <row r="9" spans="1:48" x14ac:dyDescent="0.3">
      <c r="A9" s="4" t="s">
        <v>2</v>
      </c>
      <c r="B9">
        <f>463*0.67*0.12</f>
        <v>37.225200000000001</v>
      </c>
      <c r="C9" t="s">
        <v>24</v>
      </c>
      <c r="D9" s="1" t="s">
        <v>24</v>
      </c>
      <c r="E9" s="10"/>
      <c r="F9" s="4" t="s">
        <v>2</v>
      </c>
      <c r="G9">
        <f>575*0.75*0.26</f>
        <v>112.125</v>
      </c>
      <c r="H9" t="s">
        <v>22</v>
      </c>
      <c r="I9" s="1" t="s">
        <v>22</v>
      </c>
      <c r="J9" s="10"/>
      <c r="K9" s="4" t="s">
        <v>2</v>
      </c>
      <c r="L9">
        <v>0</v>
      </c>
      <c r="M9">
        <v>0</v>
      </c>
      <c r="N9" s="1">
        <v>0</v>
      </c>
      <c r="O9" s="10"/>
      <c r="P9" s="4" t="s">
        <v>2</v>
      </c>
      <c r="Q9">
        <v>0</v>
      </c>
      <c r="R9" s="5">
        <v>0</v>
      </c>
      <c r="S9" s="1">
        <v>0</v>
      </c>
      <c r="T9" s="10"/>
      <c r="U9" s="4" t="s">
        <v>2</v>
      </c>
      <c r="V9" s="5">
        <v>0</v>
      </c>
      <c r="W9" s="5">
        <v>0</v>
      </c>
      <c r="X9" s="17">
        <v>0</v>
      </c>
      <c r="Y9" s="10"/>
      <c r="Z9" s="4" t="s">
        <v>2</v>
      </c>
      <c r="AA9">
        <v>0</v>
      </c>
      <c r="AB9">
        <v>0</v>
      </c>
      <c r="AC9" s="1">
        <v>0</v>
      </c>
      <c r="AD9" s="10"/>
      <c r="AE9" s="4" t="s">
        <v>2</v>
      </c>
      <c r="AF9">
        <v>0</v>
      </c>
      <c r="AG9" s="22">
        <v>0</v>
      </c>
      <c r="AH9" s="23">
        <v>0</v>
      </c>
      <c r="AI9" s="10"/>
      <c r="AJ9" s="4" t="s">
        <v>2</v>
      </c>
      <c r="AK9" s="22">
        <v>0</v>
      </c>
      <c r="AL9" s="23">
        <v>0</v>
      </c>
      <c r="AM9" s="10"/>
      <c r="AN9" s="4" t="s">
        <v>2</v>
      </c>
      <c r="AO9">
        <v>0</v>
      </c>
      <c r="AP9" s="22">
        <v>0</v>
      </c>
      <c r="AQ9" s="23">
        <v>0</v>
      </c>
      <c r="AR9" s="10"/>
      <c r="AS9" s="4" t="s">
        <v>2</v>
      </c>
      <c r="AT9">
        <v>0</v>
      </c>
      <c r="AU9" s="22">
        <v>0</v>
      </c>
      <c r="AV9" s="23">
        <v>0</v>
      </c>
    </row>
    <row r="10" spans="1:48" x14ac:dyDescent="0.3">
      <c r="A10" s="4" t="s">
        <v>3</v>
      </c>
      <c r="B10">
        <f>463*0.67*0.09</f>
        <v>27.918900000000001</v>
      </c>
      <c r="C10" t="s">
        <v>26</v>
      </c>
      <c r="D10" s="1" t="s">
        <v>26</v>
      </c>
      <c r="E10" s="10"/>
      <c r="F10" s="4" t="s">
        <v>3</v>
      </c>
      <c r="G10">
        <v>0</v>
      </c>
      <c r="H10" s="5">
        <v>0</v>
      </c>
      <c r="I10" s="1">
        <v>0</v>
      </c>
      <c r="J10" s="10"/>
      <c r="K10" s="4" t="s">
        <v>3</v>
      </c>
      <c r="L10">
        <v>0</v>
      </c>
      <c r="M10" s="5">
        <v>0</v>
      </c>
      <c r="N10" s="1">
        <v>0</v>
      </c>
      <c r="O10" s="10"/>
      <c r="P10" s="4" t="s">
        <v>3</v>
      </c>
      <c r="Q10">
        <v>0</v>
      </c>
      <c r="R10" s="5">
        <v>0</v>
      </c>
      <c r="S10" s="1">
        <v>0</v>
      </c>
      <c r="T10" s="10"/>
      <c r="U10" s="4" t="s">
        <v>3</v>
      </c>
      <c r="V10" t="s">
        <v>15</v>
      </c>
      <c r="W10" s="5" t="s">
        <v>23</v>
      </c>
      <c r="X10" s="1" t="s">
        <v>23</v>
      </c>
      <c r="Y10" s="10"/>
      <c r="Z10" s="4" t="s">
        <v>3</v>
      </c>
      <c r="AA10" t="s">
        <v>15</v>
      </c>
      <c r="AB10" t="s">
        <v>23</v>
      </c>
      <c r="AC10" s="1" t="s">
        <v>23</v>
      </c>
      <c r="AD10" s="10"/>
      <c r="AE10" s="4" t="s">
        <v>3</v>
      </c>
      <c r="AF10">
        <v>0</v>
      </c>
      <c r="AG10" s="22">
        <v>0</v>
      </c>
      <c r="AH10" s="23">
        <v>0</v>
      </c>
      <c r="AI10" s="10"/>
      <c r="AJ10" s="4" t="s">
        <v>3</v>
      </c>
      <c r="AK10" s="22">
        <v>0</v>
      </c>
      <c r="AL10" s="23">
        <v>0</v>
      </c>
      <c r="AM10" s="10"/>
      <c r="AN10" s="4" t="s">
        <v>3</v>
      </c>
      <c r="AO10">
        <v>0</v>
      </c>
      <c r="AP10" s="22">
        <v>0</v>
      </c>
      <c r="AQ10" s="23">
        <v>0</v>
      </c>
      <c r="AR10" s="10"/>
      <c r="AS10" s="4" t="s">
        <v>3</v>
      </c>
      <c r="AT10">
        <v>0</v>
      </c>
      <c r="AU10" s="22">
        <v>0</v>
      </c>
      <c r="AV10" s="23">
        <v>0</v>
      </c>
    </row>
    <row r="11" spans="1:48" x14ac:dyDescent="0.3">
      <c r="A11" s="4" t="s">
        <v>4</v>
      </c>
      <c r="B11">
        <f>463*0.67*0.53</f>
        <v>164.41130000000004</v>
      </c>
      <c r="C11" t="s">
        <v>25</v>
      </c>
      <c r="D11" s="21" t="s">
        <v>117</v>
      </c>
      <c r="E11" s="10"/>
      <c r="F11" s="4" t="s">
        <v>4</v>
      </c>
      <c r="G11">
        <v>0</v>
      </c>
      <c r="H11" s="5">
        <v>0</v>
      </c>
      <c r="I11" s="1">
        <v>0</v>
      </c>
      <c r="J11" s="10"/>
      <c r="K11" s="4" t="s">
        <v>4</v>
      </c>
      <c r="L11">
        <v>0</v>
      </c>
      <c r="M11" s="5">
        <v>0</v>
      </c>
      <c r="N11" s="1">
        <v>0</v>
      </c>
      <c r="O11" s="10"/>
      <c r="P11" s="4" t="s">
        <v>4</v>
      </c>
      <c r="Q11">
        <v>0</v>
      </c>
      <c r="R11">
        <v>0</v>
      </c>
      <c r="S11" s="1">
        <v>0</v>
      </c>
      <c r="T11" s="10"/>
      <c r="U11" s="4" t="s">
        <v>4</v>
      </c>
      <c r="V11">
        <v>0</v>
      </c>
      <c r="W11" s="5">
        <v>0</v>
      </c>
      <c r="X11" s="1">
        <v>0</v>
      </c>
      <c r="Y11" s="10"/>
      <c r="Z11" s="4" t="s">
        <v>4</v>
      </c>
      <c r="AA11">
        <v>0</v>
      </c>
      <c r="AB11">
        <v>0</v>
      </c>
      <c r="AC11" s="1">
        <v>0</v>
      </c>
      <c r="AD11" s="10"/>
      <c r="AE11" s="4" t="s">
        <v>4</v>
      </c>
      <c r="AF11">
        <v>0</v>
      </c>
      <c r="AG11" s="22">
        <v>0</v>
      </c>
      <c r="AH11" s="23">
        <v>0</v>
      </c>
      <c r="AI11" s="10"/>
      <c r="AJ11" s="4" t="s">
        <v>4</v>
      </c>
      <c r="AK11" s="22">
        <v>0</v>
      </c>
      <c r="AL11" s="23">
        <v>0</v>
      </c>
      <c r="AM11" s="10"/>
      <c r="AN11" s="4" t="s">
        <v>4</v>
      </c>
      <c r="AO11">
        <v>0</v>
      </c>
      <c r="AP11" s="22">
        <v>0</v>
      </c>
      <c r="AQ11" s="23">
        <v>0</v>
      </c>
      <c r="AR11" s="10"/>
      <c r="AS11" s="4" t="s">
        <v>4</v>
      </c>
      <c r="AT11">
        <v>0</v>
      </c>
      <c r="AU11" s="22">
        <v>0</v>
      </c>
      <c r="AV11" s="23">
        <v>0</v>
      </c>
    </row>
    <row r="12" spans="1:48" x14ac:dyDescent="0.3">
      <c r="A12" s="4" t="s">
        <v>5</v>
      </c>
      <c r="B12">
        <f>463*0.67*0.09</f>
        <v>27.918900000000001</v>
      </c>
      <c r="C12" t="s">
        <v>26</v>
      </c>
      <c r="D12" s="21" t="s">
        <v>23</v>
      </c>
      <c r="E12" s="10"/>
      <c r="F12" s="4" t="s">
        <v>5</v>
      </c>
      <c r="G12">
        <v>0</v>
      </c>
      <c r="H12">
        <v>0</v>
      </c>
      <c r="I12" s="1">
        <v>0</v>
      </c>
      <c r="J12" s="10"/>
      <c r="K12" s="4" t="s">
        <v>5</v>
      </c>
      <c r="L12">
        <v>0</v>
      </c>
      <c r="M12">
        <v>0</v>
      </c>
      <c r="N12" s="1">
        <v>0</v>
      </c>
      <c r="O12" s="10"/>
      <c r="P12" s="4" t="s">
        <v>5</v>
      </c>
      <c r="Q12">
        <v>0</v>
      </c>
      <c r="R12">
        <v>0</v>
      </c>
      <c r="S12" s="1">
        <v>0</v>
      </c>
      <c r="T12" s="10"/>
      <c r="U12" s="4" t="s">
        <v>5</v>
      </c>
      <c r="V12" t="s">
        <v>15</v>
      </c>
      <c r="W12" s="5" t="s">
        <v>23</v>
      </c>
      <c r="X12" s="21" t="s">
        <v>25</v>
      </c>
      <c r="Y12" s="10"/>
      <c r="Z12" s="4" t="s">
        <v>5</v>
      </c>
      <c r="AA12">
        <v>0</v>
      </c>
      <c r="AB12">
        <v>0</v>
      </c>
      <c r="AC12" s="1">
        <v>0</v>
      </c>
      <c r="AD12" s="10"/>
      <c r="AE12" s="4" t="s">
        <v>5</v>
      </c>
      <c r="AF12">
        <v>0</v>
      </c>
      <c r="AG12" s="22">
        <v>0</v>
      </c>
      <c r="AH12" s="23">
        <v>0</v>
      </c>
      <c r="AI12" s="10"/>
      <c r="AJ12" s="4" t="s">
        <v>5</v>
      </c>
      <c r="AK12">
        <v>0</v>
      </c>
      <c r="AL12" s="1">
        <v>0</v>
      </c>
      <c r="AM12" s="10"/>
      <c r="AN12" s="4" t="s">
        <v>5</v>
      </c>
      <c r="AO12">
        <v>0</v>
      </c>
      <c r="AP12">
        <v>0</v>
      </c>
      <c r="AQ12" s="1">
        <v>0</v>
      </c>
      <c r="AR12" s="10"/>
      <c r="AS12" s="4" t="s">
        <v>5</v>
      </c>
      <c r="AT12">
        <v>0</v>
      </c>
      <c r="AU12">
        <v>0</v>
      </c>
      <c r="AV12" s="1">
        <v>0</v>
      </c>
    </row>
    <row r="13" spans="1:48" x14ac:dyDescent="0.3">
      <c r="A13" s="4" t="s">
        <v>6</v>
      </c>
      <c r="B13">
        <f>689*0.24</f>
        <v>165.35999999999999</v>
      </c>
      <c r="C13" t="s">
        <v>25</v>
      </c>
      <c r="D13" s="21" t="s">
        <v>117</v>
      </c>
      <c r="E13" s="10"/>
      <c r="F13" s="4" t="s">
        <v>6</v>
      </c>
      <c r="G13">
        <v>0</v>
      </c>
      <c r="H13">
        <v>0</v>
      </c>
      <c r="I13" s="1">
        <v>0</v>
      </c>
      <c r="J13" s="10"/>
      <c r="K13" s="4" t="s">
        <v>6</v>
      </c>
      <c r="L13">
        <v>0</v>
      </c>
      <c r="M13">
        <v>0</v>
      </c>
      <c r="N13" s="1">
        <v>0</v>
      </c>
      <c r="O13" s="10"/>
      <c r="P13" s="4" t="s">
        <v>6</v>
      </c>
      <c r="Q13">
        <v>0</v>
      </c>
      <c r="R13">
        <v>0</v>
      </c>
      <c r="S13" s="1">
        <v>0</v>
      </c>
      <c r="T13" s="10"/>
      <c r="U13" s="4" t="s">
        <v>6</v>
      </c>
      <c r="V13">
        <v>0</v>
      </c>
      <c r="W13" s="5">
        <v>0</v>
      </c>
      <c r="X13" s="1">
        <v>0</v>
      </c>
      <c r="Y13" s="10"/>
      <c r="Z13" s="4" t="s">
        <v>6</v>
      </c>
      <c r="AA13">
        <v>0</v>
      </c>
      <c r="AB13">
        <v>0</v>
      </c>
      <c r="AC13" s="1">
        <v>0</v>
      </c>
      <c r="AD13" s="10"/>
      <c r="AE13" s="4" t="s">
        <v>6</v>
      </c>
      <c r="AF13">
        <v>0</v>
      </c>
      <c r="AG13" s="22">
        <v>0</v>
      </c>
      <c r="AH13" s="23">
        <v>0</v>
      </c>
      <c r="AI13" s="10"/>
      <c r="AJ13" s="4" t="s">
        <v>6</v>
      </c>
      <c r="AK13">
        <v>0</v>
      </c>
      <c r="AL13" s="1">
        <v>0</v>
      </c>
      <c r="AM13" s="10"/>
      <c r="AN13" s="4" t="s">
        <v>6</v>
      </c>
      <c r="AO13">
        <v>0</v>
      </c>
      <c r="AP13">
        <v>0</v>
      </c>
      <c r="AQ13" s="1">
        <v>0</v>
      </c>
      <c r="AR13" s="10"/>
      <c r="AS13" s="4" t="s">
        <v>6</v>
      </c>
      <c r="AT13">
        <v>0</v>
      </c>
      <c r="AU13">
        <v>0</v>
      </c>
      <c r="AV13" s="1">
        <v>0</v>
      </c>
    </row>
    <row r="14" spans="1:48" x14ac:dyDescent="0.3">
      <c r="A14" s="4" t="s">
        <v>7</v>
      </c>
      <c r="B14">
        <f>689*0.15</f>
        <v>103.35</v>
      </c>
      <c r="C14" t="s">
        <v>22</v>
      </c>
      <c r="D14" s="1" t="s">
        <v>22</v>
      </c>
      <c r="E14" s="10"/>
      <c r="F14" s="4" t="s">
        <v>7</v>
      </c>
      <c r="G14">
        <v>0</v>
      </c>
      <c r="H14">
        <v>0</v>
      </c>
      <c r="I14" s="1">
        <v>0</v>
      </c>
      <c r="J14" s="10"/>
      <c r="K14" s="4" t="s">
        <v>7</v>
      </c>
      <c r="L14">
        <v>0</v>
      </c>
      <c r="M14">
        <v>0</v>
      </c>
      <c r="N14" s="1">
        <v>0</v>
      </c>
      <c r="O14" s="10"/>
      <c r="P14" s="4" t="s">
        <v>7</v>
      </c>
      <c r="Q14">
        <v>0</v>
      </c>
      <c r="R14">
        <v>0</v>
      </c>
      <c r="S14" s="1">
        <v>0</v>
      </c>
      <c r="T14" s="10"/>
      <c r="U14" s="4" t="s">
        <v>7</v>
      </c>
      <c r="V14">
        <v>0</v>
      </c>
      <c r="W14" s="5">
        <v>0</v>
      </c>
      <c r="X14" s="1">
        <v>0</v>
      </c>
      <c r="Y14" s="10"/>
      <c r="Z14" s="4" t="s">
        <v>7</v>
      </c>
      <c r="AA14">
        <v>0</v>
      </c>
      <c r="AB14">
        <v>0</v>
      </c>
      <c r="AC14" s="1">
        <v>0</v>
      </c>
      <c r="AD14" s="10"/>
      <c r="AE14" s="24" t="s">
        <v>7</v>
      </c>
      <c r="AF14">
        <f>326*0.15</f>
        <v>48.9</v>
      </c>
      <c r="AG14" t="s">
        <v>23</v>
      </c>
      <c r="AH14" s="20" t="s">
        <v>26</v>
      </c>
      <c r="AI14" s="10"/>
      <c r="AJ14" s="4" t="s">
        <v>7</v>
      </c>
      <c r="AK14">
        <v>0</v>
      </c>
      <c r="AL14" s="1">
        <v>0</v>
      </c>
      <c r="AM14" s="10"/>
      <c r="AN14" s="24" t="s">
        <v>7</v>
      </c>
      <c r="AO14">
        <f>326*0.15</f>
        <v>48.9</v>
      </c>
      <c r="AP14" t="s">
        <v>24</v>
      </c>
      <c r="AQ14" s="18" t="s">
        <v>26</v>
      </c>
      <c r="AR14" s="10"/>
      <c r="AS14" s="24" t="s">
        <v>7</v>
      </c>
      <c r="AT14">
        <f>326*0.15</f>
        <v>48.9</v>
      </c>
      <c r="AU14" t="s">
        <v>22</v>
      </c>
      <c r="AV14" s="18" t="s">
        <v>24</v>
      </c>
    </row>
    <row r="15" spans="1:48" x14ac:dyDescent="0.3">
      <c r="A15" s="4" t="s">
        <v>8</v>
      </c>
      <c r="B15">
        <f>689*0.16</f>
        <v>110.24000000000001</v>
      </c>
      <c r="C15" t="s">
        <v>22</v>
      </c>
      <c r="D15" s="1" t="s">
        <v>22</v>
      </c>
      <c r="E15" s="10"/>
      <c r="F15" s="4" t="s">
        <v>8</v>
      </c>
      <c r="G15">
        <v>0</v>
      </c>
      <c r="H15">
        <v>0</v>
      </c>
      <c r="I15" s="1">
        <v>0</v>
      </c>
      <c r="J15" s="10"/>
      <c r="K15" s="4" t="s">
        <v>8</v>
      </c>
      <c r="L15">
        <v>0</v>
      </c>
      <c r="M15">
        <v>0</v>
      </c>
      <c r="N15" s="1">
        <v>0</v>
      </c>
      <c r="O15" s="10"/>
      <c r="P15" s="4" t="s">
        <v>8</v>
      </c>
      <c r="Q15">
        <v>0</v>
      </c>
      <c r="R15">
        <v>0</v>
      </c>
      <c r="S15" s="1">
        <v>0</v>
      </c>
      <c r="T15" s="10"/>
      <c r="U15" s="4" t="s">
        <v>8</v>
      </c>
      <c r="V15">
        <v>0</v>
      </c>
      <c r="W15" s="5">
        <v>0</v>
      </c>
      <c r="X15" s="1">
        <v>0</v>
      </c>
      <c r="Y15" s="10"/>
      <c r="Z15" s="4" t="s">
        <v>8</v>
      </c>
      <c r="AA15">
        <v>0</v>
      </c>
      <c r="AB15">
        <v>0</v>
      </c>
      <c r="AC15" s="1">
        <v>0</v>
      </c>
      <c r="AD15" s="10"/>
      <c r="AE15" s="4" t="s">
        <v>8</v>
      </c>
      <c r="AF15">
        <f>326*0.18</f>
        <v>58.68</v>
      </c>
      <c r="AG15" s="14" t="s">
        <v>22</v>
      </c>
      <c r="AH15" s="13" t="s">
        <v>22</v>
      </c>
      <c r="AI15" s="10"/>
      <c r="AJ15" s="4" t="s">
        <v>8</v>
      </c>
      <c r="AK15">
        <f>326*0.18</f>
        <v>58.68</v>
      </c>
      <c r="AL15" s="1" t="s">
        <v>22</v>
      </c>
      <c r="AM15" s="10"/>
      <c r="AN15" s="4" t="s">
        <v>8</v>
      </c>
      <c r="AO15">
        <v>0</v>
      </c>
      <c r="AP15">
        <v>0</v>
      </c>
      <c r="AQ15" s="1">
        <v>0</v>
      </c>
      <c r="AR15" s="10"/>
      <c r="AS15" s="4" t="s">
        <v>8</v>
      </c>
      <c r="AT15">
        <f>236*0.18</f>
        <v>42.48</v>
      </c>
      <c r="AU15" t="s">
        <v>22</v>
      </c>
      <c r="AV15" s="1" t="s">
        <v>22</v>
      </c>
    </row>
    <row r="16" spans="1:48" x14ac:dyDescent="0.3">
      <c r="A16" s="4" t="s">
        <v>9</v>
      </c>
      <c r="B16">
        <f>689*0.07</f>
        <v>48.230000000000004</v>
      </c>
      <c r="C16" t="s">
        <v>24</v>
      </c>
      <c r="D16" s="1" t="s">
        <v>24</v>
      </c>
      <c r="E16" s="10"/>
      <c r="F16" s="4" t="s">
        <v>9</v>
      </c>
      <c r="G16">
        <v>0</v>
      </c>
      <c r="H16">
        <v>0</v>
      </c>
      <c r="I16" s="1">
        <v>0</v>
      </c>
      <c r="J16" s="10"/>
      <c r="K16" s="4" t="s">
        <v>9</v>
      </c>
      <c r="L16">
        <v>0</v>
      </c>
      <c r="M16">
        <v>0</v>
      </c>
      <c r="N16" s="1">
        <v>0</v>
      </c>
      <c r="O16" s="10"/>
      <c r="P16" s="4" t="s">
        <v>9</v>
      </c>
      <c r="Q16">
        <v>0</v>
      </c>
      <c r="R16">
        <v>0</v>
      </c>
      <c r="S16" s="1">
        <v>0</v>
      </c>
      <c r="T16" s="10"/>
      <c r="U16" s="4" t="s">
        <v>9</v>
      </c>
      <c r="V16">
        <v>0</v>
      </c>
      <c r="W16" s="5">
        <v>0</v>
      </c>
      <c r="X16" s="1">
        <v>0</v>
      </c>
      <c r="Y16" s="10"/>
      <c r="Z16" s="4" t="s">
        <v>9</v>
      </c>
      <c r="AA16">
        <v>0</v>
      </c>
      <c r="AB16">
        <v>0</v>
      </c>
      <c r="AC16" s="1">
        <v>0</v>
      </c>
      <c r="AD16" s="10"/>
      <c r="AE16" s="24" t="s">
        <v>9</v>
      </c>
      <c r="AF16">
        <f>326*0.1</f>
        <v>32.6</v>
      </c>
      <c r="AG16" t="s">
        <v>23</v>
      </c>
      <c r="AH16" s="20" t="s">
        <v>26</v>
      </c>
      <c r="AI16" s="10"/>
      <c r="AJ16" s="4" t="s">
        <v>9</v>
      </c>
      <c r="AK16">
        <f>326*0.1</f>
        <v>32.6</v>
      </c>
      <c r="AL16" s="1" t="s">
        <v>23</v>
      </c>
      <c r="AM16" s="10"/>
      <c r="AN16" s="24" t="s">
        <v>9</v>
      </c>
      <c r="AO16">
        <f>326*0.1</f>
        <v>32.6</v>
      </c>
      <c r="AP16" t="s">
        <v>24</v>
      </c>
      <c r="AQ16" s="18" t="s">
        <v>26</v>
      </c>
      <c r="AR16" s="10"/>
      <c r="AS16" s="4" t="s">
        <v>9</v>
      </c>
      <c r="AT16">
        <v>0</v>
      </c>
      <c r="AU16">
        <v>0</v>
      </c>
      <c r="AV16" s="1">
        <v>0</v>
      </c>
    </row>
    <row r="18" spans="1:20" x14ac:dyDescent="0.3">
      <c r="A18" s="25" t="s">
        <v>28</v>
      </c>
    </row>
    <row r="19" spans="1:20" x14ac:dyDescent="0.3">
      <c r="A19" s="5" t="s">
        <v>29</v>
      </c>
      <c r="B19" s="5"/>
      <c r="C19" s="5"/>
      <c r="Q19" t="s">
        <v>30</v>
      </c>
    </row>
    <row r="20" spans="1:20" x14ac:dyDescent="0.3">
      <c r="Q20" s="19" t="s">
        <v>31</v>
      </c>
      <c r="R20" s="19"/>
      <c r="S20" s="19"/>
    </row>
    <row r="21" spans="1:20" x14ac:dyDescent="0.3">
      <c r="A21" s="1" t="s">
        <v>32</v>
      </c>
      <c r="Q21" s="16" t="s">
        <v>33</v>
      </c>
      <c r="R21" s="16"/>
      <c r="S21" s="16"/>
    </row>
    <row r="22" spans="1:20" x14ac:dyDescent="0.3">
      <c r="A22" t="s">
        <v>34</v>
      </c>
      <c r="E22" t="s">
        <v>35</v>
      </c>
      <c r="J22" t="s">
        <v>36</v>
      </c>
      <c r="Q22" s="2" t="s">
        <v>10</v>
      </c>
      <c r="R22" s="2"/>
      <c r="S22" s="2"/>
    </row>
    <row r="23" spans="1:20" x14ac:dyDescent="0.3">
      <c r="A23" t="s">
        <v>37</v>
      </c>
      <c r="C23" s="26">
        <v>0.56999999999999995</v>
      </c>
      <c r="E23" t="s">
        <v>37</v>
      </c>
      <c r="G23" s="26">
        <v>0.16</v>
      </c>
      <c r="J23" t="s">
        <v>38</v>
      </c>
      <c r="L23" s="26">
        <v>0.18</v>
      </c>
      <c r="Q23" s="27" t="s">
        <v>39</v>
      </c>
      <c r="R23" s="27"/>
      <c r="S23" s="28"/>
    </row>
    <row r="24" spans="1:20" x14ac:dyDescent="0.3">
      <c r="A24" t="s">
        <v>40</v>
      </c>
      <c r="C24" s="26">
        <v>0.19</v>
      </c>
      <c r="E24" t="s">
        <v>40</v>
      </c>
      <c r="G24" s="26">
        <v>0.24</v>
      </c>
      <c r="J24" t="s">
        <v>41</v>
      </c>
      <c r="L24" s="26">
        <v>0.16</v>
      </c>
      <c r="Q24" s="29" t="s">
        <v>42</v>
      </c>
      <c r="R24" s="29"/>
      <c r="S24" s="29"/>
    </row>
    <row r="25" spans="1:20" x14ac:dyDescent="0.3">
      <c r="A25" t="s">
        <v>43</v>
      </c>
      <c r="C25" s="26">
        <v>0.1</v>
      </c>
      <c r="E25" t="s">
        <v>43</v>
      </c>
      <c r="G25" s="26">
        <v>0.22</v>
      </c>
      <c r="J25" t="s">
        <v>44</v>
      </c>
      <c r="L25" s="26">
        <v>0.15</v>
      </c>
      <c r="Q25" s="30" t="s">
        <v>45</v>
      </c>
      <c r="R25" s="30"/>
      <c r="S25" s="30"/>
    </row>
    <row r="26" spans="1:20" x14ac:dyDescent="0.3">
      <c r="A26" t="s">
        <v>115</v>
      </c>
      <c r="B26" t="s">
        <v>46</v>
      </c>
      <c r="E26" t="s">
        <v>115</v>
      </c>
      <c r="F26" t="s">
        <v>47</v>
      </c>
      <c r="J26" t="s">
        <v>48</v>
      </c>
      <c r="L26" t="s">
        <v>49</v>
      </c>
      <c r="M26" s="26" t="s">
        <v>116</v>
      </c>
    </row>
    <row r="27" spans="1:20" x14ac:dyDescent="0.3">
      <c r="A27" t="s">
        <v>50</v>
      </c>
      <c r="E27" t="s">
        <v>51</v>
      </c>
      <c r="J27" t="s">
        <v>52</v>
      </c>
      <c r="Q27" s="6" t="s">
        <v>13</v>
      </c>
      <c r="R27" s="6"/>
      <c r="S27" s="6"/>
      <c r="T27" s="6"/>
    </row>
    <row r="28" spans="1:20" x14ac:dyDescent="0.3">
      <c r="A28" t="s">
        <v>53</v>
      </c>
      <c r="E28" t="s">
        <v>54</v>
      </c>
      <c r="J28" t="s">
        <v>55</v>
      </c>
      <c r="Q28" s="7" t="s">
        <v>14</v>
      </c>
      <c r="R28" s="7"/>
      <c r="S28" s="7"/>
      <c r="T28" s="7"/>
    </row>
    <row r="30" spans="1:20" x14ac:dyDescent="0.3">
      <c r="A30" s="1" t="s">
        <v>56</v>
      </c>
    </row>
    <row r="31" spans="1:20" x14ac:dyDescent="0.3">
      <c r="A31" t="s">
        <v>57</v>
      </c>
    </row>
    <row r="32" spans="1:20" x14ac:dyDescent="0.3">
      <c r="A32" t="s">
        <v>58</v>
      </c>
      <c r="B32" s="26">
        <v>0.23</v>
      </c>
    </row>
    <row r="33" spans="1:11" x14ac:dyDescent="0.3">
      <c r="A33" t="s">
        <v>59</v>
      </c>
      <c r="B33" s="26">
        <v>0.13</v>
      </c>
    </row>
    <row r="34" spans="1:11" x14ac:dyDescent="0.3">
      <c r="A34" t="s">
        <v>60</v>
      </c>
      <c r="B34" s="26">
        <v>0.11</v>
      </c>
    </row>
    <row r="35" spans="1:11" x14ac:dyDescent="0.3">
      <c r="A35" t="s">
        <v>61</v>
      </c>
      <c r="B35" s="26">
        <v>0.09</v>
      </c>
    </row>
    <row r="36" spans="1:11" x14ac:dyDescent="0.3">
      <c r="A36" t="s">
        <v>62</v>
      </c>
      <c r="B36" s="26">
        <v>0.09</v>
      </c>
    </row>
    <row r="38" spans="1:11" x14ac:dyDescent="0.3">
      <c r="A38" t="s">
        <v>63</v>
      </c>
      <c r="E38" t="s">
        <v>64</v>
      </c>
    </row>
    <row r="39" spans="1:11" x14ac:dyDescent="0.3">
      <c r="A39" t="s">
        <v>65</v>
      </c>
      <c r="E39" t="s">
        <v>66</v>
      </c>
    </row>
    <row r="41" spans="1:11" x14ac:dyDescent="0.3">
      <c r="A41" s="1" t="s">
        <v>67</v>
      </c>
    </row>
    <row r="42" spans="1:11" x14ac:dyDescent="0.3">
      <c r="A42" t="s">
        <v>68</v>
      </c>
    </row>
    <row r="43" spans="1:11" x14ac:dyDescent="0.3">
      <c r="A43" t="s">
        <v>69</v>
      </c>
      <c r="C43" t="s">
        <v>70</v>
      </c>
      <c r="E43" t="s">
        <v>71</v>
      </c>
      <c r="G43" t="s">
        <v>72</v>
      </c>
      <c r="K43" t="s">
        <v>73</v>
      </c>
    </row>
    <row r="44" spans="1:11" x14ac:dyDescent="0.3">
      <c r="A44" t="s">
        <v>74</v>
      </c>
      <c r="C44" s="26">
        <v>0.53</v>
      </c>
      <c r="E44" t="s">
        <v>75</v>
      </c>
      <c r="G44" s="26">
        <v>0.82</v>
      </c>
    </row>
    <row r="45" spans="1:11" x14ac:dyDescent="0.3">
      <c r="A45" t="s">
        <v>76</v>
      </c>
      <c r="C45" s="26">
        <v>0.12</v>
      </c>
      <c r="E45" t="s">
        <v>77</v>
      </c>
      <c r="G45" s="26">
        <v>0.12</v>
      </c>
    </row>
    <row r="46" spans="1:11" x14ac:dyDescent="0.3">
      <c r="A46" t="s">
        <v>78</v>
      </c>
      <c r="C46" s="26">
        <v>0.09</v>
      </c>
      <c r="E46" t="s">
        <v>79</v>
      </c>
      <c r="G46" s="26">
        <v>0.04</v>
      </c>
    </row>
    <row r="47" spans="1:11" x14ac:dyDescent="0.3">
      <c r="A47" t="s">
        <v>80</v>
      </c>
      <c r="C47" s="26">
        <v>0.09</v>
      </c>
      <c r="E47" t="s">
        <v>81</v>
      </c>
      <c r="G47" s="26">
        <v>0.02</v>
      </c>
    </row>
    <row r="48" spans="1:11" x14ac:dyDescent="0.3">
      <c r="A48" t="s">
        <v>82</v>
      </c>
      <c r="C48" s="26">
        <v>0.08</v>
      </c>
    </row>
    <row r="50" spans="1:11" x14ac:dyDescent="0.3">
      <c r="A50" t="s">
        <v>83</v>
      </c>
      <c r="E50" t="s">
        <v>84</v>
      </c>
    </row>
    <row r="51" spans="1:11" x14ac:dyDescent="0.3">
      <c r="A51" t="s">
        <v>85</v>
      </c>
      <c r="E51" t="s">
        <v>86</v>
      </c>
    </row>
    <row r="53" spans="1:11" x14ac:dyDescent="0.3">
      <c r="A53" s="1" t="s">
        <v>87</v>
      </c>
    </row>
    <row r="54" spans="1:11" x14ac:dyDescent="0.3">
      <c r="A54" t="s">
        <v>88</v>
      </c>
    </row>
    <row r="55" spans="1:11" x14ac:dyDescent="0.3">
      <c r="A55" t="s">
        <v>89</v>
      </c>
      <c r="C55" t="s">
        <v>90</v>
      </c>
      <c r="F55" t="s">
        <v>91</v>
      </c>
      <c r="H55" t="s">
        <v>92</v>
      </c>
      <c r="K55" t="s">
        <v>73</v>
      </c>
    </row>
    <row r="56" spans="1:11" x14ac:dyDescent="0.3">
      <c r="A56" t="s">
        <v>82</v>
      </c>
      <c r="C56" s="26">
        <v>0.3</v>
      </c>
      <c r="F56" t="s">
        <v>75</v>
      </c>
      <c r="H56" s="26">
        <v>0.48</v>
      </c>
    </row>
    <row r="57" spans="1:11" x14ac:dyDescent="0.3">
      <c r="A57" t="s">
        <v>76</v>
      </c>
      <c r="C57" s="26">
        <v>0.26</v>
      </c>
      <c r="F57" t="s">
        <v>79</v>
      </c>
      <c r="H57" s="26">
        <v>0.2</v>
      </c>
    </row>
    <row r="58" spans="1:11" x14ac:dyDescent="0.3">
      <c r="A58" t="s">
        <v>74</v>
      </c>
      <c r="C58" s="26">
        <v>0.19</v>
      </c>
      <c r="F58" t="s">
        <v>81</v>
      </c>
      <c r="H58" s="26">
        <v>0.08</v>
      </c>
    </row>
    <row r="59" spans="1:11" x14ac:dyDescent="0.3">
      <c r="A59" t="s">
        <v>78</v>
      </c>
      <c r="C59" s="26">
        <v>0.09</v>
      </c>
    </row>
    <row r="60" spans="1:11" x14ac:dyDescent="0.3">
      <c r="A60" t="s">
        <v>80</v>
      </c>
      <c r="C60" s="26">
        <v>0.08</v>
      </c>
    </row>
    <row r="62" spans="1:11" x14ac:dyDescent="0.3">
      <c r="A62" t="s">
        <v>93</v>
      </c>
      <c r="E62" t="s">
        <v>94</v>
      </c>
      <c r="J62" t="s">
        <v>95</v>
      </c>
    </row>
    <row r="63" spans="1:11" x14ac:dyDescent="0.3">
      <c r="A63" t="s">
        <v>96</v>
      </c>
      <c r="E63" t="s">
        <v>97</v>
      </c>
      <c r="J63" t="s">
        <v>49</v>
      </c>
    </row>
  </sheetData>
  <mergeCells count="10">
    <mergeCell ref="B5:B6"/>
    <mergeCell ref="G5:G6"/>
    <mergeCell ref="L5:L6"/>
    <mergeCell ref="Q5:Q6"/>
    <mergeCell ref="V5:V6"/>
    <mergeCell ref="AA5:AA6"/>
    <mergeCell ref="AF5:AF6"/>
    <mergeCell ref="AK5:AK6"/>
    <mergeCell ref="AO5:AO6"/>
    <mergeCell ref="AT5:AT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317B-A229-475A-9BB5-DF874C24ACDD}">
  <dimension ref="A1:AA46"/>
  <sheetViews>
    <sheetView tabSelected="1" workbookViewId="0">
      <selection activeCell="O2" sqref="O2:O9"/>
    </sheetView>
  </sheetViews>
  <sheetFormatPr defaultRowHeight="14.4" x14ac:dyDescent="0.3"/>
  <sheetData>
    <row r="1" spans="1:27" x14ac:dyDescent="0.3">
      <c r="A1" s="1" t="s">
        <v>98</v>
      </c>
      <c r="Q1" s="1" t="s">
        <v>99</v>
      </c>
    </row>
    <row r="2" spans="1:27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M2" s="38" t="s">
        <v>119</v>
      </c>
      <c r="N2" s="5" t="s">
        <v>117</v>
      </c>
      <c r="O2">
        <v>2.5</v>
      </c>
      <c r="P2">
        <v>2.5</v>
      </c>
      <c r="R2" s="3" t="s">
        <v>0</v>
      </c>
      <c r="S2" s="3" t="s">
        <v>1</v>
      </c>
      <c r="T2" s="3" t="s">
        <v>2</v>
      </c>
      <c r="U2" s="3" t="s">
        <v>3</v>
      </c>
      <c r="V2" s="3" t="s">
        <v>4</v>
      </c>
      <c r="W2" s="3" t="s">
        <v>5</v>
      </c>
      <c r="X2" s="3" t="s">
        <v>6</v>
      </c>
      <c r="Y2" s="3" t="s">
        <v>7</v>
      </c>
      <c r="Z2" s="3" t="s">
        <v>8</v>
      </c>
      <c r="AA2" s="3" t="s">
        <v>9</v>
      </c>
    </row>
    <row r="3" spans="1:27" x14ac:dyDescent="0.3">
      <c r="A3" s="4" t="s">
        <v>0</v>
      </c>
      <c r="B3" s="1">
        <f>rating_per_OD_pair!D7</f>
        <v>0</v>
      </c>
      <c r="C3" s="1" t="str">
        <f>rating_per_OD_pair!I7</f>
        <v>A</v>
      </c>
      <c r="D3" s="1" t="str">
        <f>rating_per_OD_pair!N7</f>
        <v>B</v>
      </c>
      <c r="E3" s="1" t="str">
        <f>rating_per_OD_pair!S7</f>
        <v>B</v>
      </c>
      <c r="F3" s="1" t="str">
        <f>rating_per_OD_pair!X7</f>
        <v>A</v>
      </c>
      <c r="G3" s="1" t="str">
        <f>rating_per_OD_pair!AC7</f>
        <v>B</v>
      </c>
      <c r="H3" s="13" t="str">
        <f>rating_per_OD_pair!AH7</f>
        <v>AA</v>
      </c>
      <c r="I3" s="1" t="str">
        <f>rating_per_OD_pair!AL7</f>
        <v>A</v>
      </c>
      <c r="J3" s="1" t="str">
        <f>rating_per_OD_pair!AQ7</f>
        <v>AA</v>
      </c>
      <c r="K3" s="1" t="str">
        <f>rating_per_OD_pair!AV7</f>
        <v>A</v>
      </c>
      <c r="M3" s="31" t="s">
        <v>100</v>
      </c>
      <c r="N3" s="12" t="s">
        <v>25</v>
      </c>
      <c r="O3">
        <v>2.125</v>
      </c>
      <c r="P3">
        <v>2.1</v>
      </c>
      <c r="Q3" s="4" t="s">
        <v>0</v>
      </c>
      <c r="R3">
        <f t="shared" ref="R3:R11" si="0">VLOOKUP(B3, $N$2:$O$10, 2, FALSE)</f>
        <v>0</v>
      </c>
      <c r="S3">
        <f t="shared" ref="S3:S12" si="1">VLOOKUP(C3, $N$2:$O$10, 2, FALSE)</f>
        <v>1.75</v>
      </c>
      <c r="T3">
        <f t="shared" ref="T3:T12" si="2">VLOOKUP(D3, $N$2:$O$10, 2, FALSE)</f>
        <v>1.375</v>
      </c>
      <c r="U3">
        <f t="shared" ref="U3:U12" si="3">VLOOKUP(E3, $N$2:$O$10, 2, FALSE)</f>
        <v>1.375</v>
      </c>
      <c r="V3">
        <f t="shared" ref="V3:V12" si="4">VLOOKUP(F3, $N$2:$O$10, 2, FALSE)</f>
        <v>1.75</v>
      </c>
      <c r="W3">
        <f t="shared" ref="W3:W12" si="5">VLOOKUP(G3, $N$2:$O$10, 2, FALSE)</f>
        <v>1.375</v>
      </c>
      <c r="X3">
        <f t="shared" ref="X3:X12" si="6">VLOOKUP(H3, $N$2:$O$10, 2, FALSE)</f>
        <v>2.125</v>
      </c>
      <c r="Y3">
        <f t="shared" ref="Y3:Y12" si="7">VLOOKUP(I3, $N$2:$O$10, 2, FALSE)</f>
        <v>1.75</v>
      </c>
      <c r="Z3">
        <f t="shared" ref="Z3:Z12" si="8">VLOOKUP(J3, $N$2:$O$10, 2, FALSE)</f>
        <v>2.125</v>
      </c>
      <c r="AA3">
        <f t="shared" ref="AA3:AA12" si="9">VLOOKUP(K3, $N$2:$O$10, 2, FALSE)</f>
        <v>1.75</v>
      </c>
    </row>
    <row r="4" spans="1:27" x14ac:dyDescent="0.3">
      <c r="A4" s="4" t="s">
        <v>1</v>
      </c>
      <c r="B4" s="1" t="str">
        <f>rating_per_OD_pair!D8</f>
        <v>A</v>
      </c>
      <c r="C4" s="1">
        <f>rating_per_OD_pair!I8</f>
        <v>0</v>
      </c>
      <c r="D4" s="1" t="str">
        <f>rating_per_OD_pair!N8</f>
        <v>AA</v>
      </c>
      <c r="E4" s="1" t="str">
        <f>rating_per_OD_pair!S8</f>
        <v>A</v>
      </c>
      <c r="F4" s="1" t="str">
        <f>rating_per_OD_pair!X8</f>
        <v>A</v>
      </c>
      <c r="G4" s="1" t="str">
        <f>rating_per_OD_pair!AC8</f>
        <v>A</v>
      </c>
      <c r="H4" s="13">
        <f>rating_per_OD_pair!AH8</f>
        <v>0</v>
      </c>
      <c r="I4" s="1">
        <f>rating_per_OD_pair!AL8</f>
        <v>0</v>
      </c>
      <c r="J4" s="1">
        <f>rating_per_OD_pair!AQ8</f>
        <v>0</v>
      </c>
      <c r="K4" s="1">
        <f>rating_per_OD_pair!AV8</f>
        <v>0</v>
      </c>
      <c r="M4" s="32" t="s">
        <v>101</v>
      </c>
      <c r="N4" t="s">
        <v>22</v>
      </c>
      <c r="O4">
        <v>1.75</v>
      </c>
      <c r="P4">
        <v>1.7</v>
      </c>
      <c r="Q4" s="4" t="s">
        <v>1</v>
      </c>
      <c r="R4">
        <f t="shared" si="0"/>
        <v>1.75</v>
      </c>
      <c r="S4">
        <f t="shared" si="1"/>
        <v>0</v>
      </c>
      <c r="T4">
        <f t="shared" si="2"/>
        <v>2.125</v>
      </c>
      <c r="U4">
        <f t="shared" si="3"/>
        <v>1.75</v>
      </c>
      <c r="V4">
        <f t="shared" si="4"/>
        <v>1.75</v>
      </c>
      <c r="W4">
        <f t="shared" si="5"/>
        <v>1.75</v>
      </c>
      <c r="X4">
        <f t="shared" si="6"/>
        <v>0</v>
      </c>
      <c r="Y4">
        <f t="shared" si="7"/>
        <v>0</v>
      </c>
      <c r="Z4">
        <f t="shared" si="8"/>
        <v>0</v>
      </c>
      <c r="AA4">
        <f t="shared" si="9"/>
        <v>0</v>
      </c>
    </row>
    <row r="5" spans="1:27" x14ac:dyDescent="0.3">
      <c r="A5" s="4" t="s">
        <v>2</v>
      </c>
      <c r="B5" s="1" t="str">
        <f>rating_per_OD_pair!D9</f>
        <v>C</v>
      </c>
      <c r="C5" s="1" t="str">
        <f>rating_per_OD_pair!I9</f>
        <v>A</v>
      </c>
      <c r="D5" s="1">
        <f>rating_per_OD_pair!N9</f>
        <v>0</v>
      </c>
      <c r="E5" s="1">
        <f>rating_per_OD_pair!S9</f>
        <v>0</v>
      </c>
      <c r="F5" s="1">
        <f>rating_per_OD_pair!X9</f>
        <v>0</v>
      </c>
      <c r="G5" s="1">
        <f>rating_per_OD_pair!AC9</f>
        <v>0</v>
      </c>
      <c r="H5" s="13">
        <f>rating_per_OD_pair!AH9</f>
        <v>0</v>
      </c>
      <c r="I5" s="1">
        <f>rating_per_OD_pair!AL9</f>
        <v>0</v>
      </c>
      <c r="J5" s="1">
        <f>rating_per_OD_pair!AQ9</f>
        <v>0</v>
      </c>
      <c r="K5" s="1">
        <f>rating_per_OD_pair!AV9</f>
        <v>0</v>
      </c>
      <c r="M5" t="s">
        <v>102</v>
      </c>
      <c r="N5" t="s">
        <v>23</v>
      </c>
      <c r="O5">
        <v>1.375</v>
      </c>
      <c r="P5">
        <v>1.2</v>
      </c>
      <c r="Q5" s="4" t="s">
        <v>2</v>
      </c>
      <c r="R5">
        <f t="shared" si="0"/>
        <v>1</v>
      </c>
      <c r="S5">
        <f t="shared" si="1"/>
        <v>1.75</v>
      </c>
      <c r="T5">
        <f t="shared" si="2"/>
        <v>0</v>
      </c>
      <c r="U5">
        <f t="shared" si="3"/>
        <v>0</v>
      </c>
      <c r="V5">
        <f t="shared" si="4"/>
        <v>0</v>
      </c>
      <c r="W5">
        <f t="shared" si="5"/>
        <v>0</v>
      </c>
      <c r="X5">
        <f t="shared" si="6"/>
        <v>0</v>
      </c>
      <c r="Y5">
        <f t="shared" si="7"/>
        <v>0</v>
      </c>
      <c r="Z5">
        <f t="shared" si="8"/>
        <v>0</v>
      </c>
      <c r="AA5">
        <f t="shared" si="9"/>
        <v>0</v>
      </c>
    </row>
    <row r="6" spans="1:27" x14ac:dyDescent="0.3">
      <c r="A6" s="4" t="s">
        <v>3</v>
      </c>
      <c r="B6" s="1" t="str">
        <f>rating_per_OD_pair!D10</f>
        <v>D</v>
      </c>
      <c r="C6" s="1">
        <f>rating_per_OD_pair!I10</f>
        <v>0</v>
      </c>
      <c r="D6" s="1">
        <f>rating_per_OD_pair!N10</f>
        <v>0</v>
      </c>
      <c r="E6" s="1">
        <f>rating_per_OD_pair!S10</f>
        <v>0</v>
      </c>
      <c r="F6" s="1" t="str">
        <f>rating_per_OD_pair!X10</f>
        <v>B</v>
      </c>
      <c r="G6" s="1" t="str">
        <f>rating_per_OD_pair!AC10</f>
        <v>B</v>
      </c>
      <c r="H6" s="13">
        <f>rating_per_OD_pair!AH10</f>
        <v>0</v>
      </c>
      <c r="I6" s="1">
        <f>rating_per_OD_pair!AL10</f>
        <v>0</v>
      </c>
      <c r="J6" s="1">
        <f>rating_per_OD_pair!AQ10</f>
        <v>0</v>
      </c>
      <c r="K6" s="1">
        <f>rating_per_OD_pair!AV10</f>
        <v>0</v>
      </c>
      <c r="M6" s="33" t="s">
        <v>103</v>
      </c>
      <c r="N6" t="s">
        <v>24</v>
      </c>
      <c r="O6">
        <v>1</v>
      </c>
      <c r="P6">
        <v>1</v>
      </c>
      <c r="Q6" s="4" t="s">
        <v>3</v>
      </c>
      <c r="R6">
        <f t="shared" si="0"/>
        <v>0.75</v>
      </c>
      <c r="S6">
        <f t="shared" si="1"/>
        <v>0</v>
      </c>
      <c r="T6">
        <f t="shared" si="2"/>
        <v>0</v>
      </c>
      <c r="U6">
        <f t="shared" si="3"/>
        <v>0</v>
      </c>
      <c r="V6">
        <f t="shared" si="4"/>
        <v>1.375</v>
      </c>
      <c r="W6">
        <f t="shared" si="5"/>
        <v>1.375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</row>
    <row r="7" spans="1:27" x14ac:dyDescent="0.3">
      <c r="A7" s="4" t="s">
        <v>4</v>
      </c>
      <c r="B7" s="1" t="str">
        <f>rating_per_OD_pair!D11</f>
        <v>AAA</v>
      </c>
      <c r="C7" s="1">
        <f>rating_per_OD_pair!I11</f>
        <v>0</v>
      </c>
      <c r="D7" s="1">
        <f>rating_per_OD_pair!N11</f>
        <v>0</v>
      </c>
      <c r="E7" s="1">
        <f>rating_per_OD_pair!S11</f>
        <v>0</v>
      </c>
      <c r="F7" s="1">
        <f>rating_per_OD_pair!X11</f>
        <v>0</v>
      </c>
      <c r="G7" s="1">
        <f>rating_per_OD_pair!AC11</f>
        <v>0</v>
      </c>
      <c r="H7" s="13">
        <f>rating_per_OD_pair!AH11</f>
        <v>0</v>
      </c>
      <c r="I7" s="1">
        <f>rating_per_OD_pair!AL11</f>
        <v>0</v>
      </c>
      <c r="J7" s="1">
        <f>rating_per_OD_pair!AQ11</f>
        <v>0</v>
      </c>
      <c r="K7" s="1">
        <f>rating_per_OD_pair!AV11</f>
        <v>0</v>
      </c>
      <c r="M7" t="s">
        <v>104</v>
      </c>
      <c r="N7" t="s">
        <v>26</v>
      </c>
      <c r="O7">
        <v>0.75</v>
      </c>
      <c r="P7">
        <v>0.8</v>
      </c>
      <c r="Q7" s="4" t="s">
        <v>4</v>
      </c>
      <c r="R7">
        <f t="shared" si="0"/>
        <v>2.5</v>
      </c>
      <c r="S7">
        <f t="shared" si="1"/>
        <v>0</v>
      </c>
      <c r="T7">
        <f t="shared" si="2"/>
        <v>0</v>
      </c>
      <c r="U7">
        <f t="shared" si="3"/>
        <v>0</v>
      </c>
      <c r="V7">
        <f t="shared" si="4"/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</row>
    <row r="8" spans="1:27" x14ac:dyDescent="0.3">
      <c r="A8" s="4" t="s">
        <v>5</v>
      </c>
      <c r="B8" s="1" t="str">
        <f>rating_per_OD_pair!D12</f>
        <v>B</v>
      </c>
      <c r="C8" s="1">
        <f>rating_per_OD_pair!I12</f>
        <v>0</v>
      </c>
      <c r="D8" s="1">
        <f>rating_per_OD_pair!N12</f>
        <v>0</v>
      </c>
      <c r="E8" s="1">
        <f>rating_per_OD_pair!S12</f>
        <v>0</v>
      </c>
      <c r="F8" s="1" t="str">
        <f>rating_per_OD_pair!X12</f>
        <v>AA</v>
      </c>
      <c r="G8" s="1">
        <f>rating_per_OD_pair!AC12</f>
        <v>0</v>
      </c>
      <c r="H8" s="13">
        <f>rating_per_OD_pair!AH12</f>
        <v>0</v>
      </c>
      <c r="I8" s="1">
        <f>rating_per_OD_pair!AL12</f>
        <v>0</v>
      </c>
      <c r="J8" s="1">
        <f>rating_per_OD_pair!AQ12</f>
        <v>0</v>
      </c>
      <c r="K8" s="1">
        <f>rating_per_OD_pair!AV12</f>
        <v>0</v>
      </c>
      <c r="M8" s="32" t="s">
        <v>105</v>
      </c>
      <c r="N8" t="s">
        <v>27</v>
      </c>
      <c r="O8">
        <v>0.5</v>
      </c>
      <c r="P8">
        <v>0.3</v>
      </c>
      <c r="Q8" s="4" t="s">
        <v>5</v>
      </c>
      <c r="R8">
        <f t="shared" si="0"/>
        <v>1.375</v>
      </c>
      <c r="S8">
        <f t="shared" si="1"/>
        <v>0</v>
      </c>
      <c r="T8">
        <f t="shared" si="2"/>
        <v>0</v>
      </c>
      <c r="U8">
        <f t="shared" si="3"/>
        <v>0</v>
      </c>
      <c r="V8">
        <f t="shared" si="4"/>
        <v>2.125</v>
      </c>
      <c r="W8">
        <f t="shared" si="5"/>
        <v>0</v>
      </c>
      <c r="X8">
        <f t="shared" si="6"/>
        <v>0</v>
      </c>
      <c r="Y8">
        <f t="shared" si="7"/>
        <v>0</v>
      </c>
      <c r="Z8">
        <f t="shared" si="8"/>
        <v>0</v>
      </c>
      <c r="AA8">
        <f t="shared" si="9"/>
        <v>0</v>
      </c>
    </row>
    <row r="9" spans="1:27" x14ac:dyDescent="0.3">
      <c r="A9" s="4" t="s">
        <v>6</v>
      </c>
      <c r="B9" s="1" t="str">
        <f>rating_per_OD_pair!D13</f>
        <v>AAA</v>
      </c>
      <c r="C9" s="1">
        <f>rating_per_OD_pair!I13</f>
        <v>0</v>
      </c>
      <c r="D9" s="1">
        <f>rating_per_OD_pair!N13</f>
        <v>0</v>
      </c>
      <c r="E9" s="1">
        <f>rating_per_OD_pair!S13</f>
        <v>0</v>
      </c>
      <c r="F9" s="1">
        <f>rating_per_OD_pair!X13</f>
        <v>0</v>
      </c>
      <c r="G9" s="1">
        <f>rating_per_OD_pair!AC13</f>
        <v>0</v>
      </c>
      <c r="H9" s="13">
        <f>rating_per_OD_pair!AH13</f>
        <v>0</v>
      </c>
      <c r="I9" s="1">
        <f>rating_per_OD_pair!AL13</f>
        <v>0</v>
      </c>
      <c r="J9" s="1">
        <f>rating_per_OD_pair!AQ13</f>
        <v>0</v>
      </c>
      <c r="K9" s="1">
        <f>rating_per_OD_pair!AV13</f>
        <v>0</v>
      </c>
      <c r="M9" s="32" t="s">
        <v>106</v>
      </c>
      <c r="N9" t="s">
        <v>107</v>
      </c>
      <c r="O9">
        <v>0.25</v>
      </c>
      <c r="P9">
        <v>0.1</v>
      </c>
      <c r="Q9" s="4" t="s">
        <v>6</v>
      </c>
      <c r="R9">
        <f t="shared" si="0"/>
        <v>2.5</v>
      </c>
      <c r="S9">
        <f t="shared" si="1"/>
        <v>0</v>
      </c>
      <c r="T9">
        <f t="shared" si="2"/>
        <v>0</v>
      </c>
      <c r="U9">
        <f t="shared" si="3"/>
        <v>0</v>
      </c>
      <c r="V9">
        <f t="shared" si="4"/>
        <v>0</v>
      </c>
      <c r="W9">
        <f t="shared" si="5"/>
        <v>0</v>
      </c>
      <c r="X9">
        <f t="shared" si="6"/>
        <v>0</v>
      </c>
      <c r="Y9">
        <f t="shared" si="7"/>
        <v>0</v>
      </c>
      <c r="Z9">
        <f t="shared" si="8"/>
        <v>0</v>
      </c>
      <c r="AA9">
        <f t="shared" si="9"/>
        <v>0</v>
      </c>
    </row>
    <row r="10" spans="1:27" x14ac:dyDescent="0.3">
      <c r="A10" s="4" t="s">
        <v>7</v>
      </c>
      <c r="B10" s="1" t="str">
        <f>rating_per_OD_pair!D14</f>
        <v>A</v>
      </c>
      <c r="C10" s="1">
        <f>rating_per_OD_pair!I14</f>
        <v>0</v>
      </c>
      <c r="D10" s="1">
        <f>rating_per_OD_pair!N14</f>
        <v>0</v>
      </c>
      <c r="E10" s="1">
        <f>rating_per_OD_pair!S14</f>
        <v>0</v>
      </c>
      <c r="F10" s="1">
        <f>rating_per_OD_pair!X14</f>
        <v>0</v>
      </c>
      <c r="G10" s="1">
        <f>rating_per_OD_pair!AC14</f>
        <v>0</v>
      </c>
      <c r="H10" s="13" t="str">
        <f>rating_per_OD_pair!AH14</f>
        <v>D</v>
      </c>
      <c r="I10" s="1">
        <f>rating_per_OD_pair!AL14</f>
        <v>0</v>
      </c>
      <c r="J10" s="1" t="str">
        <f>rating_per_OD_pair!AQ14</f>
        <v>D</v>
      </c>
      <c r="K10" s="1" t="str">
        <f>rating_per_OD_pair!AV14</f>
        <v>C</v>
      </c>
      <c r="N10">
        <v>0</v>
      </c>
      <c r="O10">
        <v>0</v>
      </c>
      <c r="Q10" s="4" t="s">
        <v>7</v>
      </c>
      <c r="R10">
        <f t="shared" si="0"/>
        <v>1.75</v>
      </c>
      <c r="S10">
        <f t="shared" si="1"/>
        <v>0</v>
      </c>
      <c r="T10">
        <f t="shared" si="2"/>
        <v>0</v>
      </c>
      <c r="U10">
        <f t="shared" si="3"/>
        <v>0</v>
      </c>
      <c r="V10">
        <f t="shared" si="4"/>
        <v>0</v>
      </c>
      <c r="W10">
        <f t="shared" si="5"/>
        <v>0</v>
      </c>
      <c r="X10">
        <f t="shared" si="6"/>
        <v>0.75</v>
      </c>
      <c r="Y10">
        <f t="shared" si="7"/>
        <v>0</v>
      </c>
      <c r="Z10">
        <f t="shared" si="8"/>
        <v>0.75</v>
      </c>
      <c r="AA10">
        <f t="shared" si="9"/>
        <v>1</v>
      </c>
    </row>
    <row r="11" spans="1:27" x14ac:dyDescent="0.3">
      <c r="A11" s="4" t="s">
        <v>8</v>
      </c>
      <c r="B11" s="1" t="str">
        <f>rating_per_OD_pair!D15</f>
        <v>A</v>
      </c>
      <c r="C11" s="1">
        <f>rating_per_OD_pair!I15</f>
        <v>0</v>
      </c>
      <c r="D11" s="1">
        <f>rating_per_OD_pair!N15</f>
        <v>0</v>
      </c>
      <c r="E11" s="1">
        <f>rating_per_OD_pair!S15</f>
        <v>0</v>
      </c>
      <c r="F11" s="1">
        <f>rating_per_OD_pair!X15</f>
        <v>0</v>
      </c>
      <c r="G11" s="1">
        <f>rating_per_OD_pair!AC15</f>
        <v>0</v>
      </c>
      <c r="H11" s="13" t="str">
        <f>rating_per_OD_pair!AH15</f>
        <v>A</v>
      </c>
      <c r="I11" s="1" t="str">
        <f>rating_per_OD_pair!AL15</f>
        <v>A</v>
      </c>
      <c r="J11" s="1">
        <f>rating_per_OD_pair!AQ15</f>
        <v>0</v>
      </c>
      <c r="K11" s="1" t="str">
        <f>rating_per_OD_pair!AV15</f>
        <v>A</v>
      </c>
      <c r="Q11" s="4" t="s">
        <v>8</v>
      </c>
      <c r="R11">
        <f t="shared" si="0"/>
        <v>1.75</v>
      </c>
      <c r="S11">
        <f t="shared" si="1"/>
        <v>0</v>
      </c>
      <c r="T11">
        <f t="shared" si="2"/>
        <v>0</v>
      </c>
      <c r="U11">
        <f t="shared" si="3"/>
        <v>0</v>
      </c>
      <c r="V11">
        <f t="shared" si="4"/>
        <v>0</v>
      </c>
      <c r="W11">
        <f t="shared" si="5"/>
        <v>0</v>
      </c>
      <c r="X11">
        <f t="shared" si="6"/>
        <v>1.75</v>
      </c>
      <c r="Y11">
        <f t="shared" si="7"/>
        <v>1.75</v>
      </c>
      <c r="Z11">
        <f t="shared" si="8"/>
        <v>0</v>
      </c>
      <c r="AA11">
        <f t="shared" si="9"/>
        <v>1.75</v>
      </c>
    </row>
    <row r="12" spans="1:27" x14ac:dyDescent="0.3">
      <c r="A12" s="4" t="s">
        <v>9</v>
      </c>
      <c r="B12" s="1" t="str">
        <f>rating_per_OD_pair!D16</f>
        <v>C</v>
      </c>
      <c r="C12" s="1">
        <f>rating_per_OD_pair!I16</f>
        <v>0</v>
      </c>
      <c r="D12" s="1">
        <f>rating_per_OD_pair!N16</f>
        <v>0</v>
      </c>
      <c r="E12" s="1">
        <f>rating_per_OD_pair!S16</f>
        <v>0</v>
      </c>
      <c r="F12" s="1">
        <f>rating_per_OD_pair!X16</f>
        <v>0</v>
      </c>
      <c r="G12" s="1">
        <f>rating_per_OD_pair!AC16</f>
        <v>0</v>
      </c>
      <c r="H12" s="13" t="str">
        <f>rating_per_OD_pair!AH16</f>
        <v>D</v>
      </c>
      <c r="I12" s="1" t="str">
        <f>rating_per_OD_pair!AL16</f>
        <v>B</v>
      </c>
      <c r="J12" s="1" t="str">
        <f>rating_per_OD_pair!AQ16</f>
        <v>D</v>
      </c>
      <c r="K12" s="1">
        <f>rating_per_OD_pair!AV16</f>
        <v>0</v>
      </c>
      <c r="Q12" s="4" t="s">
        <v>9</v>
      </c>
      <c r="R12">
        <f t="shared" ref="R10:R12" si="10">VLOOKUP(B12, $N$2:$O$10, 2, FALSE)</f>
        <v>1</v>
      </c>
      <c r="S12">
        <f t="shared" si="1"/>
        <v>0</v>
      </c>
      <c r="T12">
        <f t="shared" si="2"/>
        <v>0</v>
      </c>
      <c r="U12">
        <f t="shared" si="3"/>
        <v>0</v>
      </c>
      <c r="V12">
        <f t="shared" si="4"/>
        <v>0</v>
      </c>
      <c r="W12">
        <f t="shared" si="5"/>
        <v>0</v>
      </c>
      <c r="X12">
        <f t="shared" si="6"/>
        <v>0.75</v>
      </c>
      <c r="Y12">
        <f t="shared" si="7"/>
        <v>1.375</v>
      </c>
      <c r="Z12">
        <f t="shared" si="8"/>
        <v>0.75</v>
      </c>
      <c r="AA12">
        <f t="shared" si="9"/>
        <v>0</v>
      </c>
    </row>
    <row r="14" spans="1:27" x14ac:dyDescent="0.3">
      <c r="A14" s="1" t="s">
        <v>108</v>
      </c>
      <c r="P14">
        <v>2.33</v>
      </c>
    </row>
    <row r="15" spans="1:27" x14ac:dyDescent="0.3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P15">
        <v>2</v>
      </c>
    </row>
    <row r="16" spans="1:27" x14ac:dyDescent="0.3">
      <c r="A16" s="4" t="s">
        <v>0</v>
      </c>
      <c r="B16">
        <f>distinct_flight_paths_reduced!B3*VLOOKUP(B3, $N$2:$O$10, 2, FALSE)</f>
        <v>0</v>
      </c>
      <c r="C16">
        <f>distinct_flight_paths_reduced!C3*VLOOKUP(C3, $N$2:$O$10, 2, FALSE)</f>
        <v>3.5</v>
      </c>
      <c r="D16">
        <f>distinct_flight_paths_reduced!D3*VLOOKUP(D3, $N$2:$O$10, 2, FALSE)</f>
        <v>1.375</v>
      </c>
      <c r="E16">
        <f>distinct_flight_paths_reduced!E3*VLOOKUP(E3, $N$2:$O$10, 2, FALSE)</f>
        <v>1.375</v>
      </c>
      <c r="F16">
        <f>distinct_flight_paths_reduced!F3*VLOOKUP(F3, $N$2:$O$10, 2, FALSE)</f>
        <v>1.75</v>
      </c>
      <c r="G16">
        <f>distinct_flight_paths_reduced!G3*VLOOKUP(G3, $N$2:$O$10, 2, FALSE)</f>
        <v>1.375</v>
      </c>
      <c r="H16">
        <f>distinct_flight_paths_reduced!H3*VLOOKUP(H3, $N$2:$O$10, 2, FALSE)</f>
        <v>2.125</v>
      </c>
      <c r="I16">
        <f>distinct_flight_paths_reduced!I3*VLOOKUP(I3, $N$2:$O$10, 2, FALSE)</f>
        <v>1.75</v>
      </c>
      <c r="J16">
        <f>distinct_flight_paths_reduced!J3*VLOOKUP(J3, $N$2:$O$10, 2, FALSE)</f>
        <v>4.25</v>
      </c>
      <c r="K16">
        <f>distinct_flight_paths_reduced!K3*VLOOKUP(K3, $N$2:$O$10, 2, FALSE)</f>
        <v>1.75</v>
      </c>
      <c r="P16">
        <v>1.67</v>
      </c>
    </row>
    <row r="17" spans="1:25" x14ac:dyDescent="0.3">
      <c r="A17" s="4" t="s">
        <v>1</v>
      </c>
      <c r="B17">
        <f>distinct_flight_paths_reduced!B4*VLOOKUP(B4, $N$2:$O$10, 2, FALSE)</f>
        <v>3.5</v>
      </c>
      <c r="C17">
        <f>distinct_flight_paths_reduced!C4*VLOOKUP(C4, $N$2:$O$10, 2, FALSE)</f>
        <v>0</v>
      </c>
      <c r="D17">
        <f>distinct_flight_paths_reduced!D4*VLOOKUP(D4, $N$2:$O$10, 2, FALSE)</f>
        <v>2.125</v>
      </c>
      <c r="E17">
        <f>distinct_flight_paths_reduced!E4*VLOOKUP(E4, $N$2:$O$10, 2, FALSE)</f>
        <v>1.75</v>
      </c>
      <c r="F17">
        <f>distinct_flight_paths_reduced!F4*VLOOKUP(F4, $N$2:$O$10, 2, FALSE)</f>
        <v>1.75</v>
      </c>
      <c r="G17">
        <f>distinct_flight_paths_reduced!G4*VLOOKUP(G4, $N$2:$O$10, 2, FALSE)</f>
        <v>1.75</v>
      </c>
      <c r="H17">
        <f>distinct_flight_paths_reduced!H4*VLOOKUP(H4, $N$2:$O$10, 2, FALSE)</f>
        <v>0</v>
      </c>
      <c r="I17">
        <f>distinct_flight_paths_reduced!I4*VLOOKUP(I4, $N$2:$O$10, 2, FALSE)</f>
        <v>0</v>
      </c>
      <c r="J17">
        <f>distinct_flight_paths_reduced!J4*VLOOKUP(J4, $N$2:$O$10, 2, FALSE)</f>
        <v>0</v>
      </c>
      <c r="K17">
        <f>distinct_flight_paths_reduced!K4*VLOOKUP(K4, $N$2:$O$10, 2, FALSE)</f>
        <v>0</v>
      </c>
      <c r="P17">
        <v>1.33</v>
      </c>
    </row>
    <row r="18" spans="1:25" x14ac:dyDescent="0.3">
      <c r="A18" s="4" t="s">
        <v>2</v>
      </c>
      <c r="B18">
        <f>distinct_flight_paths_reduced!B5*VLOOKUP(B5, $N$2:$O$10, 2, FALSE)</f>
        <v>1</v>
      </c>
      <c r="C18">
        <f>distinct_flight_paths_reduced!C5*VLOOKUP(C5, $N$2:$O$10, 2, FALSE)</f>
        <v>1.75</v>
      </c>
      <c r="D18">
        <f>distinct_flight_paths_reduced!D5*VLOOKUP(D5, $N$2:$O$10, 2, FALSE)</f>
        <v>0</v>
      </c>
      <c r="E18">
        <f>distinct_flight_paths_reduced!E5*VLOOKUP(E5, $N$2:$O$10, 2, FALSE)</f>
        <v>0</v>
      </c>
      <c r="F18">
        <f>distinct_flight_paths_reduced!F5*VLOOKUP(F5, $N$2:$O$10, 2, FALSE)</f>
        <v>0</v>
      </c>
      <c r="G18">
        <f>distinct_flight_paths_reduced!G5*VLOOKUP(G5, $N$2:$O$10, 2, FALSE)</f>
        <v>0</v>
      </c>
      <c r="H18">
        <f>distinct_flight_paths_reduced!H5*VLOOKUP(H5, $N$2:$O$10, 2, FALSE)</f>
        <v>0</v>
      </c>
      <c r="I18">
        <f>distinct_flight_paths_reduced!I5*VLOOKUP(I5, $N$2:$O$10, 2, FALSE)</f>
        <v>0</v>
      </c>
      <c r="J18">
        <f>distinct_flight_paths_reduced!J5*VLOOKUP(J5, $N$2:$O$10, 2, FALSE)</f>
        <v>0</v>
      </c>
      <c r="K18">
        <f>distinct_flight_paths_reduced!K5*VLOOKUP(K5, $N$2:$O$10, 2, FALSE)</f>
        <v>0</v>
      </c>
      <c r="P18">
        <v>1</v>
      </c>
    </row>
    <row r="19" spans="1:25" x14ac:dyDescent="0.3">
      <c r="A19" s="4" t="s">
        <v>3</v>
      </c>
      <c r="B19">
        <f>distinct_flight_paths_reduced!B6*VLOOKUP(B6, $N$2:$O$10, 2, FALSE)</f>
        <v>0.75</v>
      </c>
      <c r="C19">
        <f>distinct_flight_paths_reduced!C6*VLOOKUP(C6, $N$2:$O$10, 2, FALSE)</f>
        <v>0</v>
      </c>
      <c r="D19">
        <f>distinct_flight_paths_reduced!D6*VLOOKUP(D6, $N$2:$O$10, 2, FALSE)</f>
        <v>0</v>
      </c>
      <c r="E19">
        <f>distinct_flight_paths_reduced!E6*VLOOKUP(E6, $N$2:$O$10, 2, FALSE)</f>
        <v>0</v>
      </c>
      <c r="F19">
        <f>distinct_flight_paths_reduced!F6*VLOOKUP(F6, $N$2:$O$10, 2, FALSE)</f>
        <v>1.375</v>
      </c>
      <c r="G19">
        <f>distinct_flight_paths_reduced!G6*VLOOKUP(G6, $N$2:$O$10, 2, FALSE)</f>
        <v>1.375</v>
      </c>
      <c r="H19">
        <f>distinct_flight_paths_reduced!H6*VLOOKUP(H6, $N$2:$O$10, 2, FALSE)</f>
        <v>0</v>
      </c>
      <c r="I19">
        <f>distinct_flight_paths_reduced!I6*VLOOKUP(I6, $N$2:$O$10, 2, FALSE)</f>
        <v>0</v>
      </c>
      <c r="J19">
        <f>distinct_flight_paths_reduced!J6*VLOOKUP(J6, $N$2:$O$10, 2, FALSE)</f>
        <v>0</v>
      </c>
      <c r="K19">
        <f>distinct_flight_paths_reduced!K6*VLOOKUP(K6, $N$2:$O$10, 2, FALSE)</f>
        <v>0</v>
      </c>
      <c r="P19">
        <v>0.67</v>
      </c>
    </row>
    <row r="20" spans="1:25" x14ac:dyDescent="0.3">
      <c r="A20" s="4" t="s">
        <v>4</v>
      </c>
      <c r="B20">
        <f>distinct_flight_paths_reduced!B7*VLOOKUP(B7, $N$2:$O$10, 2, FALSE)</f>
        <v>2.5</v>
      </c>
      <c r="C20">
        <f>distinct_flight_paths_reduced!C7*VLOOKUP(C7, $N$2:$O$10, 2, FALSE)</f>
        <v>0</v>
      </c>
      <c r="D20">
        <f>distinct_flight_paths_reduced!D7*VLOOKUP(D7, $N$2:$O$10, 2, FALSE)</f>
        <v>0</v>
      </c>
      <c r="E20">
        <f>distinct_flight_paths_reduced!E7*VLOOKUP(E7, $N$2:$O$10, 2, FALSE)</f>
        <v>0</v>
      </c>
      <c r="F20">
        <f>distinct_flight_paths_reduced!F7*VLOOKUP(F7, $N$2:$O$10, 2, FALSE)</f>
        <v>0</v>
      </c>
      <c r="G20">
        <f>distinct_flight_paths_reduced!G7*VLOOKUP(G7, $N$2:$O$10, 2, FALSE)</f>
        <v>0</v>
      </c>
      <c r="H20">
        <f>distinct_flight_paths_reduced!H7*VLOOKUP(H7, $N$2:$O$10, 2, FALSE)</f>
        <v>0</v>
      </c>
      <c r="I20">
        <f>distinct_flight_paths_reduced!I7*VLOOKUP(I7, $N$2:$O$10, 2, FALSE)</f>
        <v>0</v>
      </c>
      <c r="J20">
        <f>distinct_flight_paths_reduced!J7*VLOOKUP(J7, $N$2:$O$10, 2, FALSE)</f>
        <v>0</v>
      </c>
      <c r="K20">
        <f>distinct_flight_paths_reduced!K7*VLOOKUP(K7, $N$2:$O$10, 2, FALSE)</f>
        <v>0</v>
      </c>
      <c r="P20">
        <v>0.33</v>
      </c>
    </row>
    <row r="21" spans="1:25" x14ac:dyDescent="0.3">
      <c r="A21" s="4" t="s">
        <v>5</v>
      </c>
      <c r="B21">
        <f>distinct_flight_paths_reduced!B8*VLOOKUP(B8, $N$2:$O$10, 2, FALSE)</f>
        <v>1.375</v>
      </c>
      <c r="C21">
        <f>distinct_flight_paths_reduced!C8*VLOOKUP(C8, $N$2:$O$10, 2, FALSE)</f>
        <v>0</v>
      </c>
      <c r="D21">
        <f>distinct_flight_paths_reduced!D8*VLOOKUP(D8, $N$2:$O$10, 2, FALSE)</f>
        <v>0</v>
      </c>
      <c r="E21">
        <f>distinct_flight_paths_reduced!E8*VLOOKUP(E8, $N$2:$O$10, 2, FALSE)</f>
        <v>0</v>
      </c>
      <c r="F21">
        <f>distinct_flight_paths_reduced!F8*VLOOKUP(F8, $N$2:$O$10, 2, FALSE)</f>
        <v>2.125</v>
      </c>
      <c r="G21">
        <f>distinct_flight_paths_reduced!G8*VLOOKUP(G8, $N$2:$O$10, 2, FALSE)</f>
        <v>0</v>
      </c>
      <c r="H21">
        <f>distinct_flight_paths_reduced!H8*VLOOKUP(H8, $N$2:$O$10, 2, FALSE)</f>
        <v>0</v>
      </c>
      <c r="I21">
        <f>distinct_flight_paths_reduced!I8*VLOOKUP(I8, $N$2:$O$10, 2, FALSE)</f>
        <v>0</v>
      </c>
      <c r="J21">
        <f>distinct_flight_paths_reduced!J8*VLOOKUP(J8, $N$2:$O$10, 2, FALSE)</f>
        <v>0</v>
      </c>
      <c r="K21">
        <f>distinct_flight_paths_reduced!K8*VLOOKUP(K8, $N$2:$O$10, 2, FALSE)</f>
        <v>0</v>
      </c>
      <c r="P21">
        <v>0</v>
      </c>
    </row>
    <row r="22" spans="1:25" x14ac:dyDescent="0.3">
      <c r="A22" s="4" t="s">
        <v>6</v>
      </c>
      <c r="B22">
        <f>distinct_flight_paths_reduced!B9*VLOOKUP(B9, $N$2:$O$10, 2, FALSE)</f>
        <v>2.5</v>
      </c>
      <c r="C22">
        <f>distinct_flight_paths_reduced!C9*VLOOKUP(C9, $N$2:$O$10, 2, FALSE)</f>
        <v>0</v>
      </c>
      <c r="D22">
        <f>distinct_flight_paths_reduced!D9*VLOOKUP(D9, $N$2:$O$10, 2, FALSE)</f>
        <v>0</v>
      </c>
      <c r="E22">
        <f>distinct_flight_paths_reduced!E9*VLOOKUP(E9, $N$2:$O$10, 2, FALSE)</f>
        <v>0</v>
      </c>
      <c r="F22">
        <f>distinct_flight_paths_reduced!F9*VLOOKUP(F9, $N$2:$O$10, 2, FALSE)</f>
        <v>0</v>
      </c>
      <c r="G22">
        <f>distinct_flight_paths_reduced!G9*VLOOKUP(G9, $N$2:$O$10, 2, FALSE)</f>
        <v>0</v>
      </c>
      <c r="H22">
        <f>distinct_flight_paths_reduced!H9*VLOOKUP(H9, $N$2:$O$10, 2, FALSE)</f>
        <v>0</v>
      </c>
      <c r="I22">
        <f>distinct_flight_paths_reduced!I9*VLOOKUP(I9, $N$2:$O$10, 2, FALSE)</f>
        <v>0</v>
      </c>
      <c r="J22">
        <f>distinct_flight_paths_reduced!J9*VLOOKUP(J9, $N$2:$O$10, 2, FALSE)</f>
        <v>0</v>
      </c>
      <c r="K22">
        <f>distinct_flight_paths_reduced!K9*VLOOKUP(K9, $N$2:$O$10, 2, FALSE)</f>
        <v>0</v>
      </c>
    </row>
    <row r="23" spans="1:25" x14ac:dyDescent="0.3">
      <c r="A23" s="4" t="s">
        <v>7</v>
      </c>
      <c r="B23">
        <f>distinct_flight_paths_reduced!B10*VLOOKUP(B10, $N$2:$O$10, 2, FALSE)</f>
        <v>1.75</v>
      </c>
      <c r="C23">
        <f>distinct_flight_paths_reduced!C10*VLOOKUP(C10, $N$2:$O$10, 2, FALSE)</f>
        <v>0</v>
      </c>
      <c r="D23">
        <f>distinct_flight_paths_reduced!D10*VLOOKUP(D10, $N$2:$O$10, 2, FALSE)</f>
        <v>0</v>
      </c>
      <c r="E23">
        <f>distinct_flight_paths_reduced!E10*VLOOKUP(E10, $N$2:$O$10, 2, FALSE)</f>
        <v>0</v>
      </c>
      <c r="F23">
        <f>distinct_flight_paths_reduced!F10*VLOOKUP(F10, $N$2:$O$10, 2, FALSE)</f>
        <v>0</v>
      </c>
      <c r="G23">
        <f>distinct_flight_paths_reduced!G10*VLOOKUP(G10, $N$2:$O$10, 2, FALSE)</f>
        <v>0</v>
      </c>
      <c r="H23">
        <f>distinct_flight_paths_reduced!H10*VLOOKUP(H10, $N$2:$O$10, 2, FALSE)</f>
        <v>0.75</v>
      </c>
      <c r="I23">
        <f>distinct_flight_paths_reduced!I10*VLOOKUP(I10, $N$2:$O$10, 2, FALSE)</f>
        <v>0</v>
      </c>
      <c r="J23">
        <f>distinct_flight_paths_reduced!J10*VLOOKUP(J10, $N$2:$O$10, 2, FALSE)</f>
        <v>0.75</v>
      </c>
      <c r="K23">
        <f>distinct_flight_paths_reduced!K10*VLOOKUP(K10, $N$2:$O$10, 2, FALSE)</f>
        <v>0</v>
      </c>
    </row>
    <row r="24" spans="1:25" x14ac:dyDescent="0.3">
      <c r="A24" s="4" t="s">
        <v>8</v>
      </c>
      <c r="B24">
        <f>distinct_flight_paths_reduced!B11*VLOOKUP(B11, $N$2:$O$10, 2, FALSE)</f>
        <v>3.5</v>
      </c>
      <c r="C24">
        <f>distinct_flight_paths_reduced!C11*VLOOKUP(C11, $N$2:$O$10, 2, FALSE)</f>
        <v>0</v>
      </c>
      <c r="D24">
        <f>distinct_flight_paths_reduced!D11*VLOOKUP(D11, $N$2:$O$10, 2, FALSE)</f>
        <v>0</v>
      </c>
      <c r="E24">
        <f>distinct_flight_paths_reduced!E11*VLOOKUP(E11, $N$2:$O$10, 2, FALSE)</f>
        <v>0</v>
      </c>
      <c r="F24">
        <f>distinct_flight_paths_reduced!F11*VLOOKUP(F11, $N$2:$O$10, 2, FALSE)</f>
        <v>0</v>
      </c>
      <c r="G24">
        <f>distinct_flight_paths_reduced!G11*VLOOKUP(G11, $N$2:$O$10, 2, FALSE)</f>
        <v>0</v>
      </c>
      <c r="H24">
        <f>distinct_flight_paths_reduced!H11*VLOOKUP(H11, $N$2:$O$10, 2, FALSE)</f>
        <v>1.75</v>
      </c>
      <c r="I24">
        <f>distinct_flight_paths_reduced!I11*VLOOKUP(I11, $N$2:$O$10, 2, FALSE)</f>
        <v>1.75</v>
      </c>
      <c r="J24">
        <f>distinct_flight_paths_reduced!J11*VLOOKUP(J11, $N$2:$O$10, 2, FALSE)</f>
        <v>0</v>
      </c>
      <c r="K24">
        <f>distinct_flight_paths_reduced!K11*VLOOKUP(K11, $N$2:$O$10, 2, FALSE)</f>
        <v>1.75</v>
      </c>
    </row>
    <row r="25" spans="1:25" x14ac:dyDescent="0.3">
      <c r="A25" s="4" t="s">
        <v>9</v>
      </c>
      <c r="B25">
        <f>distinct_flight_paths_reduced!B12*VLOOKUP(B12, $N$2:$O$10, 2, FALSE)</f>
        <v>1</v>
      </c>
      <c r="C25">
        <f>distinct_flight_paths_reduced!C12*VLOOKUP(C12, $N$2:$O$10, 2, FALSE)</f>
        <v>0</v>
      </c>
      <c r="D25">
        <f>distinct_flight_paths_reduced!D12*VLOOKUP(D12, $N$2:$O$10, 2, FALSE)</f>
        <v>0</v>
      </c>
      <c r="E25">
        <f>distinct_flight_paths_reduced!E12*VLOOKUP(E12, $N$2:$O$10, 2, FALSE)</f>
        <v>0</v>
      </c>
      <c r="F25">
        <f>distinct_flight_paths_reduced!F12*VLOOKUP(F12, $N$2:$O$10, 2, FALSE)</f>
        <v>0</v>
      </c>
      <c r="G25">
        <f>distinct_flight_paths_reduced!G12*VLOOKUP(G12, $N$2:$O$10, 2, FALSE)</f>
        <v>0</v>
      </c>
      <c r="H25">
        <f>distinct_flight_paths_reduced!H12*VLOOKUP(H12, $N$2:$O$10, 2, FALSE)</f>
        <v>0.75</v>
      </c>
      <c r="I25">
        <f>distinct_flight_paths_reduced!I12*VLOOKUP(I12, $N$2:$O$10, 2, FALSE)</f>
        <v>1.375</v>
      </c>
      <c r="J25">
        <f>distinct_flight_paths_reduced!J12*VLOOKUP(J12, $N$2:$O$10, 2, FALSE)</f>
        <v>0.75</v>
      </c>
      <c r="K25">
        <f>distinct_flight_paths_reduced!K12*VLOOKUP(K12, $N$2:$O$10, 2, FALSE)</f>
        <v>0</v>
      </c>
      <c r="Q25">
        <v>2.5</v>
      </c>
    </row>
    <row r="26" spans="1:25" x14ac:dyDescent="0.3">
      <c r="A26" s="34" t="s">
        <v>109</v>
      </c>
      <c r="B26" s="34">
        <f t="shared" ref="B26:K26" si="11">SUM(B16:B25)</f>
        <v>17.875</v>
      </c>
      <c r="C26" s="34">
        <f t="shared" si="11"/>
        <v>5.25</v>
      </c>
      <c r="D26" s="34">
        <f t="shared" si="11"/>
        <v>3.5</v>
      </c>
      <c r="E26" s="34">
        <f t="shared" si="11"/>
        <v>3.125</v>
      </c>
      <c r="F26" s="34">
        <f t="shared" si="11"/>
        <v>7</v>
      </c>
      <c r="G26" s="34">
        <f t="shared" si="11"/>
        <v>4.5</v>
      </c>
      <c r="H26" s="34">
        <f t="shared" si="11"/>
        <v>5.375</v>
      </c>
      <c r="I26" s="34">
        <f t="shared" si="11"/>
        <v>4.875</v>
      </c>
      <c r="J26" s="34">
        <f t="shared" si="11"/>
        <v>5.75</v>
      </c>
      <c r="K26" s="34">
        <f t="shared" si="11"/>
        <v>3.5</v>
      </c>
      <c r="Q26">
        <v>2.1</v>
      </c>
    </row>
    <row r="27" spans="1:25" x14ac:dyDescent="0.3">
      <c r="Q27">
        <v>1.7</v>
      </c>
    </row>
    <row r="28" spans="1:25" x14ac:dyDescent="0.3">
      <c r="A28" s="1" t="s">
        <v>110</v>
      </c>
      <c r="Q28">
        <v>1.2</v>
      </c>
      <c r="W28" s="5" t="s">
        <v>117</v>
      </c>
      <c r="X28">
        <v>2.5</v>
      </c>
      <c r="Y28">
        <f t="shared" ref="Y28:Y32" si="12">Y29+0.375</f>
        <v>2.625</v>
      </c>
    </row>
    <row r="29" spans="1:25" x14ac:dyDescent="0.3"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  <c r="Q29">
        <v>1</v>
      </c>
      <c r="W29" s="12" t="s">
        <v>25</v>
      </c>
      <c r="X29">
        <v>2.125</v>
      </c>
      <c r="Y29">
        <f t="shared" si="12"/>
        <v>2.25</v>
      </c>
    </row>
    <row r="30" spans="1:25" x14ac:dyDescent="0.3">
      <c r="A30" s="4" t="s">
        <v>0</v>
      </c>
      <c r="B30">
        <f t="shared" ref="B30:K30" si="13">B16/B$26</f>
        <v>0</v>
      </c>
      <c r="C30">
        <f t="shared" si="13"/>
        <v>0.66666666666666663</v>
      </c>
      <c r="D30">
        <f t="shared" si="13"/>
        <v>0.39285714285714285</v>
      </c>
      <c r="E30">
        <f t="shared" si="13"/>
        <v>0.44</v>
      </c>
      <c r="F30">
        <f t="shared" si="13"/>
        <v>0.25</v>
      </c>
      <c r="G30">
        <f t="shared" si="13"/>
        <v>0.30555555555555558</v>
      </c>
      <c r="H30">
        <f t="shared" si="13"/>
        <v>0.39534883720930231</v>
      </c>
      <c r="I30">
        <f t="shared" si="13"/>
        <v>0.35897435897435898</v>
      </c>
      <c r="J30">
        <f t="shared" si="13"/>
        <v>0.73913043478260865</v>
      </c>
      <c r="K30">
        <f t="shared" si="13"/>
        <v>0.5</v>
      </c>
      <c r="Q30">
        <v>0.8</v>
      </c>
      <c r="W30" t="s">
        <v>22</v>
      </c>
      <c r="X30">
        <v>1.75</v>
      </c>
      <c r="Y30">
        <f t="shared" si="12"/>
        <v>1.875</v>
      </c>
    </row>
    <row r="31" spans="1:25" x14ac:dyDescent="0.3">
      <c r="A31" s="4" t="s">
        <v>1</v>
      </c>
      <c r="B31">
        <f t="shared" ref="B31:K31" si="14">B17/B$26</f>
        <v>0.19580419580419581</v>
      </c>
      <c r="C31">
        <f t="shared" si="14"/>
        <v>0</v>
      </c>
      <c r="D31">
        <f t="shared" si="14"/>
        <v>0.6071428571428571</v>
      </c>
      <c r="E31">
        <f t="shared" si="14"/>
        <v>0.56000000000000005</v>
      </c>
      <c r="F31">
        <f t="shared" si="14"/>
        <v>0.25</v>
      </c>
      <c r="G31">
        <f t="shared" si="14"/>
        <v>0.3888888888888889</v>
      </c>
      <c r="H31">
        <f t="shared" si="14"/>
        <v>0</v>
      </c>
      <c r="I31">
        <f t="shared" si="14"/>
        <v>0</v>
      </c>
      <c r="J31">
        <f t="shared" si="14"/>
        <v>0</v>
      </c>
      <c r="K31">
        <f t="shared" si="14"/>
        <v>0</v>
      </c>
      <c r="Q31">
        <v>0.3</v>
      </c>
      <c r="W31" t="s">
        <v>23</v>
      </c>
      <c r="X31">
        <v>1.375</v>
      </c>
      <c r="Y31">
        <f t="shared" si="12"/>
        <v>1.5</v>
      </c>
    </row>
    <row r="32" spans="1:25" x14ac:dyDescent="0.3">
      <c r="A32" s="4" t="s">
        <v>2</v>
      </c>
      <c r="B32">
        <f t="shared" ref="B32:K32" si="15">B18/B$26</f>
        <v>5.5944055944055944E-2</v>
      </c>
      <c r="C32">
        <f t="shared" si="15"/>
        <v>0.33333333333333331</v>
      </c>
      <c r="D32">
        <f t="shared" si="15"/>
        <v>0</v>
      </c>
      <c r="E32">
        <f t="shared" si="15"/>
        <v>0</v>
      </c>
      <c r="F32">
        <f t="shared" si="15"/>
        <v>0</v>
      </c>
      <c r="G32">
        <f t="shared" si="15"/>
        <v>0</v>
      </c>
      <c r="H32">
        <f t="shared" si="15"/>
        <v>0</v>
      </c>
      <c r="I32">
        <f t="shared" si="15"/>
        <v>0</v>
      </c>
      <c r="J32">
        <f t="shared" si="15"/>
        <v>0</v>
      </c>
      <c r="K32">
        <f t="shared" si="15"/>
        <v>0</v>
      </c>
      <c r="Q32">
        <v>0.1</v>
      </c>
      <c r="W32" t="s">
        <v>24</v>
      </c>
      <c r="X32">
        <v>1</v>
      </c>
      <c r="Y32">
        <f t="shared" si="12"/>
        <v>1.125</v>
      </c>
    </row>
    <row r="33" spans="1:26" x14ac:dyDescent="0.3">
      <c r="A33" s="4" t="s">
        <v>3</v>
      </c>
      <c r="B33">
        <f t="shared" ref="B33:K33" si="16">B19/B$26</f>
        <v>4.195804195804196E-2</v>
      </c>
      <c r="C33">
        <f t="shared" si="16"/>
        <v>0</v>
      </c>
      <c r="D33">
        <f t="shared" si="16"/>
        <v>0</v>
      </c>
      <c r="E33">
        <f t="shared" si="16"/>
        <v>0</v>
      </c>
      <c r="F33">
        <f t="shared" si="16"/>
        <v>0.19642857142857142</v>
      </c>
      <c r="G33">
        <f t="shared" si="16"/>
        <v>0.30555555555555558</v>
      </c>
      <c r="H33">
        <f t="shared" si="16"/>
        <v>0</v>
      </c>
      <c r="I33">
        <f t="shared" si="16"/>
        <v>0</v>
      </c>
      <c r="J33">
        <f t="shared" si="16"/>
        <v>0</v>
      </c>
      <c r="K33">
        <f t="shared" si="16"/>
        <v>0</v>
      </c>
      <c r="W33" t="s">
        <v>26</v>
      </c>
      <c r="X33">
        <f>1-0.375</f>
        <v>0.625</v>
      </c>
      <c r="Y33">
        <f>Y34+0.375</f>
        <v>0.75</v>
      </c>
    </row>
    <row r="34" spans="1:26" x14ac:dyDescent="0.3">
      <c r="A34" s="4" t="s">
        <v>4</v>
      </c>
      <c r="B34">
        <f t="shared" ref="B34:K34" si="17">B20/B$26</f>
        <v>0.13986013986013987</v>
      </c>
      <c r="C34">
        <f t="shared" si="17"/>
        <v>0</v>
      </c>
      <c r="D34">
        <f t="shared" si="17"/>
        <v>0</v>
      </c>
      <c r="E34">
        <f t="shared" si="17"/>
        <v>0</v>
      </c>
      <c r="F34">
        <f t="shared" si="17"/>
        <v>0</v>
      </c>
      <c r="G34">
        <f t="shared" si="17"/>
        <v>0</v>
      </c>
      <c r="H34">
        <f t="shared" si="17"/>
        <v>0</v>
      </c>
      <c r="I34">
        <f t="shared" si="17"/>
        <v>0</v>
      </c>
      <c r="J34">
        <f t="shared" si="17"/>
        <v>0</v>
      </c>
      <c r="K34">
        <f t="shared" si="17"/>
        <v>0</v>
      </c>
      <c r="W34" t="s">
        <v>27</v>
      </c>
      <c r="X34">
        <f>X35+0.375</f>
        <v>0.375</v>
      </c>
      <c r="Y34">
        <v>0.375</v>
      </c>
    </row>
    <row r="35" spans="1:26" x14ac:dyDescent="0.3">
      <c r="A35" s="4" t="s">
        <v>5</v>
      </c>
      <c r="B35">
        <f t="shared" ref="B35:K35" si="18">B21/B$26</f>
        <v>7.6923076923076927E-2</v>
      </c>
      <c r="C35">
        <f t="shared" si="18"/>
        <v>0</v>
      </c>
      <c r="D35">
        <f t="shared" si="18"/>
        <v>0</v>
      </c>
      <c r="E35">
        <f t="shared" si="18"/>
        <v>0</v>
      </c>
      <c r="F35">
        <f t="shared" si="18"/>
        <v>0.30357142857142855</v>
      </c>
      <c r="G35">
        <f t="shared" si="18"/>
        <v>0</v>
      </c>
      <c r="H35">
        <f t="shared" si="18"/>
        <v>0</v>
      </c>
      <c r="I35">
        <f t="shared" si="18"/>
        <v>0</v>
      </c>
      <c r="J35">
        <f t="shared" si="18"/>
        <v>0</v>
      </c>
      <c r="K35">
        <f t="shared" si="18"/>
        <v>0</v>
      </c>
      <c r="W35" t="s">
        <v>107</v>
      </c>
      <c r="X35">
        <v>0</v>
      </c>
      <c r="Y35">
        <v>0</v>
      </c>
    </row>
    <row r="36" spans="1:26" x14ac:dyDescent="0.3">
      <c r="A36" s="4" t="s">
        <v>6</v>
      </c>
      <c r="B36">
        <f t="shared" ref="B36:K36" si="19">B22/B$26</f>
        <v>0.13986013986013987</v>
      </c>
      <c r="C36">
        <f t="shared" si="19"/>
        <v>0</v>
      </c>
      <c r="D36">
        <f t="shared" si="19"/>
        <v>0</v>
      </c>
      <c r="E36">
        <f t="shared" si="19"/>
        <v>0</v>
      </c>
      <c r="F36">
        <f t="shared" si="19"/>
        <v>0</v>
      </c>
      <c r="G36">
        <f t="shared" si="19"/>
        <v>0</v>
      </c>
      <c r="H36">
        <f t="shared" si="19"/>
        <v>0</v>
      </c>
      <c r="I36">
        <f t="shared" si="19"/>
        <v>0</v>
      </c>
      <c r="J36">
        <f t="shared" si="19"/>
        <v>0</v>
      </c>
      <c r="K36">
        <f t="shared" si="19"/>
        <v>0</v>
      </c>
      <c r="W36">
        <v>0</v>
      </c>
      <c r="X36">
        <v>0</v>
      </c>
    </row>
    <row r="37" spans="1:26" x14ac:dyDescent="0.3">
      <c r="A37" s="4" t="s">
        <v>7</v>
      </c>
      <c r="B37">
        <f t="shared" ref="B37:K37" si="20">B23/B$26</f>
        <v>9.7902097902097904E-2</v>
      </c>
      <c r="C37">
        <f t="shared" si="20"/>
        <v>0</v>
      </c>
      <c r="D37">
        <f t="shared" si="20"/>
        <v>0</v>
      </c>
      <c r="E37">
        <f t="shared" si="20"/>
        <v>0</v>
      </c>
      <c r="F37">
        <f t="shared" si="20"/>
        <v>0</v>
      </c>
      <c r="G37">
        <f t="shared" si="20"/>
        <v>0</v>
      </c>
      <c r="H37">
        <f t="shared" si="20"/>
        <v>0.13953488372093023</v>
      </c>
      <c r="I37">
        <f t="shared" si="20"/>
        <v>0</v>
      </c>
      <c r="J37">
        <f t="shared" si="20"/>
        <v>0.13043478260869565</v>
      </c>
      <c r="K37">
        <f t="shared" si="20"/>
        <v>0</v>
      </c>
      <c r="P37">
        <f>1.5/4</f>
        <v>0.375</v>
      </c>
    </row>
    <row r="38" spans="1:26" x14ac:dyDescent="0.3">
      <c r="A38" s="4" t="s">
        <v>8</v>
      </c>
      <c r="B38">
        <f t="shared" ref="B38:K38" si="21">B24/B$26</f>
        <v>0.19580419580419581</v>
      </c>
      <c r="C38">
        <f t="shared" si="21"/>
        <v>0</v>
      </c>
      <c r="D38">
        <f t="shared" si="21"/>
        <v>0</v>
      </c>
      <c r="E38">
        <f t="shared" si="21"/>
        <v>0</v>
      </c>
      <c r="F38">
        <f t="shared" si="21"/>
        <v>0</v>
      </c>
      <c r="G38">
        <f t="shared" si="21"/>
        <v>0</v>
      </c>
      <c r="H38">
        <f t="shared" si="21"/>
        <v>0.32558139534883723</v>
      </c>
      <c r="I38">
        <f t="shared" si="21"/>
        <v>0.35897435897435898</v>
      </c>
      <c r="J38">
        <f t="shared" si="21"/>
        <v>0</v>
      </c>
      <c r="K38">
        <f t="shared" si="21"/>
        <v>0.5</v>
      </c>
    </row>
    <row r="39" spans="1:26" x14ac:dyDescent="0.3">
      <c r="A39" s="4" t="s">
        <v>9</v>
      </c>
      <c r="B39">
        <f t="shared" ref="B39:K39" si="22">B25/B$26</f>
        <v>5.5944055944055944E-2</v>
      </c>
      <c r="C39">
        <f t="shared" si="22"/>
        <v>0</v>
      </c>
      <c r="D39">
        <f t="shared" si="22"/>
        <v>0</v>
      </c>
      <c r="E39">
        <f t="shared" si="22"/>
        <v>0</v>
      </c>
      <c r="F39">
        <f t="shared" si="22"/>
        <v>0</v>
      </c>
      <c r="G39">
        <f t="shared" si="22"/>
        <v>0</v>
      </c>
      <c r="H39">
        <f t="shared" si="22"/>
        <v>0.13953488372093023</v>
      </c>
      <c r="I39">
        <f t="shared" si="22"/>
        <v>0.28205128205128205</v>
      </c>
      <c r="J39">
        <f t="shared" si="22"/>
        <v>0.13043478260869565</v>
      </c>
      <c r="K39">
        <f t="shared" si="22"/>
        <v>0</v>
      </c>
      <c r="P39" s="5" t="s">
        <v>117</v>
      </c>
      <c r="Q39">
        <f>Q40+P37</f>
        <v>2.5</v>
      </c>
      <c r="Z39">
        <f>1-0.375-0.375</f>
        <v>0.25</v>
      </c>
    </row>
    <row r="40" spans="1:26" x14ac:dyDescent="0.3">
      <c r="A40" s="35" t="s">
        <v>109</v>
      </c>
      <c r="B40" s="34">
        <f>SUM(B30:B39)</f>
        <v>1.0000000000000002</v>
      </c>
      <c r="C40" s="34">
        <f t="shared" ref="C40:K40" si="23">SUM(C30:C39)</f>
        <v>1</v>
      </c>
      <c r="D40" s="34">
        <f t="shared" si="23"/>
        <v>1</v>
      </c>
      <c r="E40" s="34">
        <f t="shared" si="23"/>
        <v>1</v>
      </c>
      <c r="F40" s="34">
        <f t="shared" si="23"/>
        <v>1</v>
      </c>
      <c r="G40" s="34">
        <f t="shared" si="23"/>
        <v>1</v>
      </c>
      <c r="H40" s="34">
        <f t="shared" si="23"/>
        <v>1</v>
      </c>
      <c r="I40" s="34">
        <f t="shared" si="23"/>
        <v>1</v>
      </c>
      <c r="J40" s="34">
        <f t="shared" si="23"/>
        <v>1</v>
      </c>
      <c r="K40" s="34">
        <f t="shared" si="23"/>
        <v>1</v>
      </c>
      <c r="P40" s="12" t="s">
        <v>25</v>
      </c>
      <c r="Q40">
        <f>Q41+P37</f>
        <v>2.125</v>
      </c>
    </row>
    <row r="41" spans="1:26" x14ac:dyDescent="0.3">
      <c r="P41" t="s">
        <v>22</v>
      </c>
      <c r="Q41">
        <f>Q42+P37</f>
        <v>1.75</v>
      </c>
    </row>
    <row r="42" spans="1:26" x14ac:dyDescent="0.3">
      <c r="P42" t="s">
        <v>23</v>
      </c>
      <c r="Q42">
        <f>Q43+P37</f>
        <v>1.375</v>
      </c>
    </row>
    <row r="43" spans="1:26" x14ac:dyDescent="0.3">
      <c r="P43" t="s">
        <v>24</v>
      </c>
      <c r="Q43">
        <f>1</f>
        <v>1</v>
      </c>
    </row>
    <row r="44" spans="1:26" x14ac:dyDescent="0.3">
      <c r="P44" t="s">
        <v>26</v>
      </c>
      <c r="Q44">
        <f>1-P37</f>
        <v>0.625</v>
      </c>
    </row>
    <row r="45" spans="1:26" x14ac:dyDescent="0.3">
      <c r="P45" t="s">
        <v>27</v>
      </c>
      <c r="Q45">
        <f>Q44-P37</f>
        <v>0.25</v>
      </c>
    </row>
    <row r="46" spans="1:26" x14ac:dyDescent="0.3">
      <c r="P46" t="s">
        <v>107</v>
      </c>
      <c r="Q46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22E4-63FA-4002-AF16-C33A7CCE255B}">
  <dimension ref="A1:T30"/>
  <sheetViews>
    <sheetView zoomScaleNormal="100" workbookViewId="0">
      <selection activeCell="Q6" sqref="Q6"/>
    </sheetView>
  </sheetViews>
  <sheetFormatPr defaultRowHeight="14.4" x14ac:dyDescent="0.3"/>
  <cols>
    <col min="2" max="2" width="10" bestFit="1" customWidth="1"/>
    <col min="4" max="10" width="10" bestFit="1" customWidth="1"/>
  </cols>
  <sheetData>
    <row r="1" spans="1:20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4" t="s">
        <v>111</v>
      </c>
      <c r="N1" t="s">
        <v>112</v>
      </c>
      <c r="Q1" t="s">
        <v>113</v>
      </c>
    </row>
    <row r="2" spans="1:20" x14ac:dyDescent="0.3">
      <c r="A2" s="4" t="s">
        <v>0</v>
      </c>
      <c r="B2">
        <f>200*percentage_OD_matrix!B30</f>
        <v>0</v>
      </c>
      <c r="C2">
        <f>150*percentage_OD_matrix!C30</f>
        <v>100</v>
      </c>
      <c r="D2">
        <f>50*percentage_OD_matrix!D30</f>
        <v>19.642857142857142</v>
      </c>
      <c r="E2">
        <f>50*percentage_OD_matrix!E30</f>
        <v>22</v>
      </c>
      <c r="F2">
        <f>50*percentage_OD_matrix!F30</f>
        <v>12.5</v>
      </c>
      <c r="G2">
        <f>50*percentage_OD_matrix!G30</f>
        <v>15.277777777777779</v>
      </c>
      <c r="H2">
        <f>50*percentage_OD_matrix!H30</f>
        <v>19.767441860465116</v>
      </c>
      <c r="I2">
        <f>50*percentage_OD_matrix!I30</f>
        <v>17.948717948717949</v>
      </c>
      <c r="J2">
        <f>100*percentage_OD_matrix!J30</f>
        <v>73.91304347826086</v>
      </c>
      <c r="K2">
        <f>50*percentage_OD_matrix!K30</f>
        <v>25</v>
      </c>
      <c r="L2" s="34">
        <f t="shared" ref="L2:L11" si="0">SUM(B2:K2)</f>
        <v>306.04983820807882</v>
      </c>
      <c r="N2">
        <v>4</v>
      </c>
      <c r="Q2" s="36">
        <f>L2/B12</f>
        <v>1.5302491910403941</v>
      </c>
      <c r="T2">
        <v>1.5076434263866625</v>
      </c>
    </row>
    <row r="3" spans="1:20" x14ac:dyDescent="0.3">
      <c r="A3" s="4" t="s">
        <v>1</v>
      </c>
      <c r="B3">
        <f>200*percentage_OD_matrix!B31</f>
        <v>39.16083916083916</v>
      </c>
      <c r="C3">
        <f>150*percentage_OD_matrix!C31</f>
        <v>0</v>
      </c>
      <c r="D3">
        <f>50*percentage_OD_matrix!D31</f>
        <v>30.357142857142854</v>
      </c>
      <c r="E3">
        <f>50*percentage_OD_matrix!E31</f>
        <v>28.000000000000004</v>
      </c>
      <c r="F3">
        <f>50*percentage_OD_matrix!F31</f>
        <v>12.5</v>
      </c>
      <c r="G3">
        <f>50*percentage_OD_matrix!G31</f>
        <v>19.444444444444446</v>
      </c>
      <c r="H3">
        <f>50*percentage_OD_matrix!H31</f>
        <v>0</v>
      </c>
      <c r="I3">
        <f>50*percentage_OD_matrix!I31</f>
        <v>0</v>
      </c>
      <c r="J3">
        <f>100*percentage_OD_matrix!J31</f>
        <v>0</v>
      </c>
      <c r="K3">
        <f>50*percentage_OD_matrix!K31</f>
        <v>0</v>
      </c>
      <c r="L3" s="34">
        <f t="shared" si="0"/>
        <v>129.46242646242646</v>
      </c>
      <c r="N3">
        <v>3</v>
      </c>
      <c r="Q3" s="36">
        <f>L3/C12</f>
        <v>0.86308284308284311</v>
      </c>
      <c r="T3">
        <v>0.88935962656108758</v>
      </c>
    </row>
    <row r="4" spans="1:20" x14ac:dyDescent="0.3">
      <c r="A4" s="4" t="s">
        <v>2</v>
      </c>
      <c r="B4">
        <f>200*percentage_OD_matrix!B32</f>
        <v>11.188811188811188</v>
      </c>
      <c r="C4">
        <f>150*percentage_OD_matrix!C32</f>
        <v>50</v>
      </c>
      <c r="D4">
        <f>50*percentage_OD_matrix!D32</f>
        <v>0</v>
      </c>
      <c r="E4">
        <f>50*percentage_OD_matrix!E32</f>
        <v>0</v>
      </c>
      <c r="F4">
        <f>50*percentage_OD_matrix!F32</f>
        <v>0</v>
      </c>
      <c r="G4">
        <f>50*percentage_OD_matrix!G32</f>
        <v>0</v>
      </c>
      <c r="H4">
        <f>50*percentage_OD_matrix!H32</f>
        <v>0</v>
      </c>
      <c r="I4">
        <f>50*percentage_OD_matrix!I32</f>
        <v>0</v>
      </c>
      <c r="J4">
        <f>100*percentage_OD_matrix!J32</f>
        <v>0</v>
      </c>
      <c r="K4">
        <f>50*percentage_OD_matrix!K32</f>
        <v>0</v>
      </c>
      <c r="L4" s="34">
        <f t="shared" si="0"/>
        <v>61.188811188811187</v>
      </c>
      <c r="N4">
        <v>1</v>
      </c>
      <c r="Q4" s="36">
        <f>L4/D12</f>
        <v>1.2237762237762237</v>
      </c>
      <c r="T4">
        <v>1.2285714285714286</v>
      </c>
    </row>
    <row r="5" spans="1:20" x14ac:dyDescent="0.3">
      <c r="A5" s="4" t="s">
        <v>3</v>
      </c>
      <c r="B5">
        <f>200*percentage_OD_matrix!B33</f>
        <v>8.3916083916083917</v>
      </c>
      <c r="C5">
        <f>150*percentage_OD_matrix!C33</f>
        <v>0</v>
      </c>
      <c r="D5">
        <f>50*percentage_OD_matrix!D33</f>
        <v>0</v>
      </c>
      <c r="E5">
        <f>50*percentage_OD_matrix!E33</f>
        <v>0</v>
      </c>
      <c r="F5">
        <f>50*percentage_OD_matrix!F33</f>
        <v>9.8214285714285712</v>
      </c>
      <c r="G5">
        <f>50*percentage_OD_matrix!G33</f>
        <v>15.277777777777779</v>
      </c>
      <c r="H5">
        <f>50*percentage_OD_matrix!H33</f>
        <v>0</v>
      </c>
      <c r="I5">
        <f>50*percentage_OD_matrix!I33</f>
        <v>0</v>
      </c>
      <c r="J5">
        <f>100*percentage_OD_matrix!J33</f>
        <v>0</v>
      </c>
      <c r="K5">
        <f>50*percentage_OD_matrix!K33</f>
        <v>0</v>
      </c>
      <c r="L5" s="34">
        <f t="shared" si="0"/>
        <v>33.490814740814741</v>
      </c>
      <c r="N5">
        <v>1</v>
      </c>
      <c r="Q5" s="36">
        <f>L5/E12</f>
        <v>0.66981629481629479</v>
      </c>
      <c r="T5">
        <v>0.65464454729835153</v>
      </c>
    </row>
    <row r="6" spans="1:20" x14ac:dyDescent="0.3">
      <c r="A6" s="4" t="s">
        <v>4</v>
      </c>
      <c r="B6">
        <f>200*percentage_OD_matrix!B34</f>
        <v>27.972027972027973</v>
      </c>
      <c r="C6">
        <f>150*percentage_OD_matrix!C34</f>
        <v>0</v>
      </c>
      <c r="D6">
        <f>50*percentage_OD_matrix!D34</f>
        <v>0</v>
      </c>
      <c r="E6">
        <f>50*percentage_OD_matrix!E34</f>
        <v>0</v>
      </c>
      <c r="F6">
        <f>50*percentage_OD_matrix!F34</f>
        <v>0</v>
      </c>
      <c r="G6">
        <f>50*percentage_OD_matrix!G34</f>
        <v>0</v>
      </c>
      <c r="H6">
        <f>50*percentage_OD_matrix!H34</f>
        <v>0</v>
      </c>
      <c r="I6">
        <f>50*percentage_OD_matrix!I34</f>
        <v>0</v>
      </c>
      <c r="J6">
        <f>100*percentage_OD_matrix!J34</f>
        <v>0</v>
      </c>
      <c r="K6">
        <f>50*percentage_OD_matrix!K34</f>
        <v>0</v>
      </c>
      <c r="L6" s="34">
        <f t="shared" si="0"/>
        <v>27.972027972027973</v>
      </c>
      <c r="N6">
        <v>1</v>
      </c>
      <c r="Q6" s="36">
        <f>L6/F12</f>
        <v>0.55944055944055948</v>
      </c>
      <c r="T6">
        <v>0.5714285714285714</v>
      </c>
    </row>
    <row r="7" spans="1:20" x14ac:dyDescent="0.3">
      <c r="A7" s="4" t="s">
        <v>5</v>
      </c>
      <c r="B7">
        <f>200*percentage_OD_matrix!B35</f>
        <v>15.384615384615385</v>
      </c>
      <c r="C7">
        <f>150*percentage_OD_matrix!C35</f>
        <v>0</v>
      </c>
      <c r="D7">
        <f>50*percentage_OD_matrix!D35</f>
        <v>0</v>
      </c>
      <c r="E7">
        <f>50*percentage_OD_matrix!E35</f>
        <v>0</v>
      </c>
      <c r="F7">
        <f>50*percentage_OD_matrix!F35</f>
        <v>15.178571428571427</v>
      </c>
      <c r="G7">
        <f>50*percentage_OD_matrix!G35</f>
        <v>0</v>
      </c>
      <c r="H7">
        <f>50*percentage_OD_matrix!H35</f>
        <v>0</v>
      </c>
      <c r="I7">
        <f>50*percentage_OD_matrix!I35</f>
        <v>0</v>
      </c>
      <c r="J7">
        <f>100*percentage_OD_matrix!J35</f>
        <v>0</v>
      </c>
      <c r="K7">
        <f>50*percentage_OD_matrix!K35</f>
        <v>0</v>
      </c>
      <c r="L7" s="34">
        <f t="shared" si="0"/>
        <v>30.56318681318681</v>
      </c>
      <c r="N7">
        <v>1</v>
      </c>
      <c r="Q7" s="36">
        <f>L7/G12</f>
        <v>0.61126373626373609</v>
      </c>
      <c r="T7">
        <v>0.58771855010660967</v>
      </c>
    </row>
    <row r="8" spans="1:20" x14ac:dyDescent="0.3">
      <c r="A8" s="4" t="s">
        <v>6</v>
      </c>
      <c r="B8">
        <f>200*percentage_OD_matrix!B36</f>
        <v>27.972027972027973</v>
      </c>
      <c r="C8">
        <f>150*percentage_OD_matrix!C36</f>
        <v>0</v>
      </c>
      <c r="D8">
        <f>50*percentage_OD_matrix!D36</f>
        <v>0</v>
      </c>
      <c r="E8">
        <f>50*percentage_OD_matrix!E36</f>
        <v>0</v>
      </c>
      <c r="F8">
        <f>50*percentage_OD_matrix!F36</f>
        <v>0</v>
      </c>
      <c r="G8">
        <f>50*percentage_OD_matrix!G36</f>
        <v>0</v>
      </c>
      <c r="H8">
        <f>50*percentage_OD_matrix!H36</f>
        <v>0</v>
      </c>
      <c r="I8">
        <f>50*percentage_OD_matrix!I36</f>
        <v>0</v>
      </c>
      <c r="J8">
        <f>100*percentage_OD_matrix!J36</f>
        <v>0</v>
      </c>
      <c r="K8">
        <f>50*percentage_OD_matrix!K36</f>
        <v>0</v>
      </c>
      <c r="L8" s="34">
        <f t="shared" si="0"/>
        <v>27.972027972027973</v>
      </c>
      <c r="N8">
        <v>1</v>
      </c>
      <c r="Q8" s="36">
        <f>L8/H12</f>
        <v>0.55944055944055948</v>
      </c>
      <c r="T8">
        <v>0.5714285714285714</v>
      </c>
    </row>
    <row r="9" spans="1:20" x14ac:dyDescent="0.3">
      <c r="A9" s="4" t="s">
        <v>7</v>
      </c>
      <c r="B9">
        <f>200*percentage_OD_matrix!B37</f>
        <v>19.58041958041958</v>
      </c>
      <c r="C9">
        <f>150*percentage_OD_matrix!C37</f>
        <v>0</v>
      </c>
      <c r="D9">
        <f>50*percentage_OD_matrix!D37</f>
        <v>0</v>
      </c>
      <c r="E9">
        <f>50*percentage_OD_matrix!E37</f>
        <v>0</v>
      </c>
      <c r="F9">
        <f>50*percentage_OD_matrix!F37</f>
        <v>0</v>
      </c>
      <c r="G9">
        <f>50*percentage_OD_matrix!G37</f>
        <v>0</v>
      </c>
      <c r="H9">
        <f>50*percentage_OD_matrix!H37</f>
        <v>6.9767441860465116</v>
      </c>
      <c r="I9">
        <f>50*percentage_OD_matrix!I37</f>
        <v>0</v>
      </c>
      <c r="J9">
        <f>100*percentage_OD_matrix!J37</f>
        <v>13.043478260869565</v>
      </c>
      <c r="K9">
        <f>50*percentage_OD_matrix!K37</f>
        <v>0</v>
      </c>
      <c r="L9" s="34">
        <f t="shared" si="0"/>
        <v>39.600642027335653</v>
      </c>
      <c r="N9">
        <v>1</v>
      </c>
      <c r="Q9" s="36">
        <f>L9/I12</f>
        <v>0.79201284054671306</v>
      </c>
      <c r="T9">
        <v>0.81258164568509383</v>
      </c>
    </row>
    <row r="10" spans="1:20" x14ac:dyDescent="0.3">
      <c r="A10" s="4" t="s">
        <v>8</v>
      </c>
      <c r="B10">
        <f>200*percentage_OD_matrix!B38</f>
        <v>39.16083916083916</v>
      </c>
      <c r="C10">
        <f>150*percentage_OD_matrix!C38</f>
        <v>0</v>
      </c>
      <c r="D10">
        <f>50*percentage_OD_matrix!D38</f>
        <v>0</v>
      </c>
      <c r="E10">
        <f>50*percentage_OD_matrix!E38</f>
        <v>0</v>
      </c>
      <c r="F10">
        <f>50*percentage_OD_matrix!F38</f>
        <v>0</v>
      </c>
      <c r="G10">
        <f>50*percentage_OD_matrix!G38</f>
        <v>0</v>
      </c>
      <c r="H10">
        <f>50*percentage_OD_matrix!H38</f>
        <v>16.279069767441861</v>
      </c>
      <c r="I10">
        <f>50*percentage_OD_matrix!I38</f>
        <v>17.948717948717949</v>
      </c>
      <c r="J10">
        <f>100*percentage_OD_matrix!J38</f>
        <v>0</v>
      </c>
      <c r="K10">
        <f>50*percentage_OD_matrix!K38</f>
        <v>25</v>
      </c>
      <c r="L10" s="34">
        <f t="shared" si="0"/>
        <v>98.38862687699897</v>
      </c>
      <c r="N10">
        <v>2</v>
      </c>
      <c r="Q10" s="36">
        <f>L10/J12</f>
        <v>0.98388626876998986</v>
      </c>
      <c r="T10">
        <v>0.98076144467448823</v>
      </c>
    </row>
    <row r="11" spans="1:20" x14ac:dyDescent="0.3">
      <c r="A11" s="4" t="s">
        <v>9</v>
      </c>
      <c r="B11">
        <f>200*percentage_OD_matrix!B39</f>
        <v>11.188811188811188</v>
      </c>
      <c r="C11">
        <f>150*percentage_OD_matrix!C39</f>
        <v>0</v>
      </c>
      <c r="D11">
        <f>50*percentage_OD_matrix!D39</f>
        <v>0</v>
      </c>
      <c r="E11">
        <f>50*percentage_OD_matrix!E39</f>
        <v>0</v>
      </c>
      <c r="F11">
        <f>50*percentage_OD_matrix!F39</f>
        <v>0</v>
      </c>
      <c r="G11">
        <f>50*percentage_OD_matrix!G39</f>
        <v>0</v>
      </c>
      <c r="H11">
        <f>50*percentage_OD_matrix!H39</f>
        <v>6.9767441860465116</v>
      </c>
      <c r="I11">
        <f>50*percentage_OD_matrix!I39</f>
        <v>14.102564102564102</v>
      </c>
      <c r="J11">
        <f>100*percentage_OD_matrix!J39</f>
        <v>13.043478260869565</v>
      </c>
      <c r="K11">
        <f>50*percentage_OD_matrix!K39</f>
        <v>0</v>
      </c>
      <c r="L11" s="34">
        <f t="shared" si="0"/>
        <v>45.311597738291368</v>
      </c>
      <c r="N11">
        <v>1</v>
      </c>
      <c r="Q11" s="36">
        <f>L11/K12</f>
        <v>0.90623195476582741</v>
      </c>
      <c r="T11">
        <v>0.91345121090248516</v>
      </c>
    </row>
    <row r="12" spans="1:20" x14ac:dyDescent="0.3">
      <c r="A12" s="34" t="s">
        <v>114</v>
      </c>
      <c r="B12" s="34">
        <f t="shared" ref="B12:K12" si="1">SUM(B2:B11)</f>
        <v>200</v>
      </c>
      <c r="C12" s="34">
        <f t="shared" si="1"/>
        <v>150</v>
      </c>
      <c r="D12" s="34">
        <f t="shared" si="1"/>
        <v>50</v>
      </c>
      <c r="E12" s="34">
        <f t="shared" si="1"/>
        <v>50</v>
      </c>
      <c r="F12" s="34">
        <f t="shared" si="1"/>
        <v>50</v>
      </c>
      <c r="G12" s="34">
        <f t="shared" si="1"/>
        <v>50.000000000000007</v>
      </c>
      <c r="H12" s="34">
        <f t="shared" si="1"/>
        <v>50</v>
      </c>
      <c r="I12" s="34">
        <f t="shared" si="1"/>
        <v>50</v>
      </c>
      <c r="J12" s="34">
        <f t="shared" si="1"/>
        <v>99.999999999999986</v>
      </c>
      <c r="K12" s="34">
        <f t="shared" si="1"/>
        <v>50</v>
      </c>
    </row>
    <row r="13" spans="1:20" x14ac:dyDescent="0.3">
      <c r="Q13" s="36">
        <f>Q3+Q5+Q6+Q7+Q8+Q9+Q10+Q11</f>
        <v>5.9451750571265229</v>
      </c>
      <c r="S13" s="36">
        <f>Q2+Q4</f>
        <v>2.7540254148166179</v>
      </c>
    </row>
    <row r="14" spans="1:20" x14ac:dyDescent="0.3">
      <c r="Q14">
        <v>584.27</v>
      </c>
      <c r="S14">
        <v>277.72000000000003</v>
      </c>
    </row>
    <row r="19" spans="1:17" x14ac:dyDescent="0.3"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  <c r="L19" s="34" t="s">
        <v>111</v>
      </c>
      <c r="N19" t="s">
        <v>112</v>
      </c>
      <c r="Q19" t="s">
        <v>113</v>
      </c>
    </row>
    <row r="20" spans="1:17" x14ac:dyDescent="0.3">
      <c r="A20" s="4" t="s">
        <v>0</v>
      </c>
      <c r="B20">
        <v>0</v>
      </c>
      <c r="C20">
        <v>73.5</v>
      </c>
      <c r="D20">
        <v>19</v>
      </c>
      <c r="E20">
        <v>19</v>
      </c>
      <c r="F20">
        <v>19</v>
      </c>
      <c r="G20">
        <v>19</v>
      </c>
      <c r="H20">
        <v>37</v>
      </c>
      <c r="I20">
        <v>37</v>
      </c>
      <c r="J20">
        <v>74</v>
      </c>
      <c r="K20">
        <v>37</v>
      </c>
      <c r="L20" s="34">
        <f t="shared" ref="L20:L29" si="2">SUM(B20:K20)</f>
        <v>334.5</v>
      </c>
      <c r="N20">
        <v>4</v>
      </c>
      <c r="Q20" s="36">
        <f>L20/B30</f>
        <v>1.6725000000000003</v>
      </c>
    </row>
    <row r="21" spans="1:17" x14ac:dyDescent="0.3">
      <c r="A21" s="4" t="s">
        <v>1</v>
      </c>
      <c r="B21">
        <v>62</v>
      </c>
      <c r="C21">
        <v>0</v>
      </c>
      <c r="D21">
        <v>21.5</v>
      </c>
      <c r="E21">
        <v>21.5</v>
      </c>
      <c r="F21">
        <v>21.5</v>
      </c>
      <c r="G21">
        <v>21.5</v>
      </c>
      <c r="H21">
        <f>50*percentage_OD_matrix!H49</f>
        <v>0</v>
      </c>
      <c r="I21">
        <f>50*percentage_OD_matrix!I49</f>
        <v>0</v>
      </c>
      <c r="J21">
        <f>100*percentage_OD_matrix!J49</f>
        <v>0</v>
      </c>
      <c r="K21">
        <f>50*percentage_OD_matrix!K49</f>
        <v>0</v>
      </c>
      <c r="L21" s="34">
        <f t="shared" si="2"/>
        <v>148</v>
      </c>
      <c r="N21">
        <v>3</v>
      </c>
      <c r="Q21" s="36">
        <f>L21/C30</f>
        <v>1.3414302546904739</v>
      </c>
    </row>
    <row r="22" spans="1:17" x14ac:dyDescent="0.3">
      <c r="A22" s="4" t="s">
        <v>2</v>
      </c>
      <c r="B22">
        <v>9.25</v>
      </c>
      <c r="C22">
        <v>36.83</v>
      </c>
      <c r="D22">
        <v>0</v>
      </c>
      <c r="E22">
        <v>0</v>
      </c>
      <c r="F22">
        <v>0</v>
      </c>
      <c r="G22">
        <v>0</v>
      </c>
      <c r="H22">
        <f>50*percentage_OD_matrix!H50</f>
        <v>0</v>
      </c>
      <c r="I22">
        <f>50*percentage_OD_matrix!I50</f>
        <v>0</v>
      </c>
      <c r="J22">
        <f>100*percentage_OD_matrix!J50</f>
        <v>0</v>
      </c>
      <c r="K22">
        <f>50*percentage_OD_matrix!K50</f>
        <v>0</v>
      </c>
      <c r="L22" s="34">
        <f t="shared" si="2"/>
        <v>46.08</v>
      </c>
      <c r="N22">
        <v>1</v>
      </c>
      <c r="Q22" s="36">
        <f>L22/D30</f>
        <v>1.1377777777777778</v>
      </c>
    </row>
    <row r="23" spans="1:17" x14ac:dyDescent="0.3">
      <c r="A23" s="4" t="s">
        <v>3</v>
      </c>
      <c r="B23">
        <v>6.94</v>
      </c>
      <c r="C23">
        <f>150*percentage_OD_matrix!C51</f>
        <v>0</v>
      </c>
      <c r="D23">
        <f>50*percentage_OD_matrix!D51</f>
        <v>0</v>
      </c>
      <c r="E23">
        <f>50*percentage_OD_matrix!E51</f>
        <v>0</v>
      </c>
      <c r="F23">
        <v>2.38</v>
      </c>
      <c r="G23">
        <v>2.38</v>
      </c>
      <c r="H23">
        <f>50*percentage_OD_matrix!H51</f>
        <v>0</v>
      </c>
      <c r="I23">
        <f>50*percentage_OD_matrix!I51</f>
        <v>0</v>
      </c>
      <c r="J23">
        <f>100*percentage_OD_matrix!J51</f>
        <v>0</v>
      </c>
      <c r="K23">
        <f>50*percentage_OD_matrix!K51</f>
        <v>0</v>
      </c>
      <c r="L23" s="34">
        <f t="shared" si="2"/>
        <v>11.7</v>
      </c>
      <c r="N23">
        <v>1</v>
      </c>
      <c r="Q23" s="36">
        <f>L23/E30</f>
        <v>0.28888888888888886</v>
      </c>
    </row>
    <row r="24" spans="1:17" x14ac:dyDescent="0.3">
      <c r="A24" s="4" t="s">
        <v>4</v>
      </c>
      <c r="B24">
        <v>40.869999999999997</v>
      </c>
      <c r="C24">
        <f>150*percentage_OD_matrix!C52</f>
        <v>0</v>
      </c>
      <c r="D24">
        <f>50*percentage_OD_matrix!D52</f>
        <v>0</v>
      </c>
      <c r="E24">
        <f>50*percentage_OD_matrix!E52</f>
        <v>0</v>
      </c>
      <c r="F24">
        <v>0</v>
      </c>
      <c r="G24">
        <v>0</v>
      </c>
      <c r="H24">
        <f>50*percentage_OD_matrix!H52</f>
        <v>0</v>
      </c>
      <c r="I24">
        <f>50*percentage_OD_matrix!I52</f>
        <v>0</v>
      </c>
      <c r="J24">
        <f>100*percentage_OD_matrix!J52</f>
        <v>0</v>
      </c>
      <c r="K24">
        <f>50*percentage_OD_matrix!K52</f>
        <v>0</v>
      </c>
      <c r="L24" s="34">
        <f t="shared" si="2"/>
        <v>40.869999999999997</v>
      </c>
      <c r="N24">
        <v>1</v>
      </c>
      <c r="Q24" s="36">
        <f>L24/F30</f>
        <v>0.95312499999999989</v>
      </c>
    </row>
    <row r="25" spans="1:17" x14ac:dyDescent="0.3">
      <c r="A25" s="4" t="s">
        <v>5</v>
      </c>
      <c r="B25">
        <v>6.94</v>
      </c>
      <c r="C25">
        <f>150*percentage_OD_matrix!C53</f>
        <v>0</v>
      </c>
      <c r="D25">
        <f>50*percentage_OD_matrix!D53</f>
        <v>0</v>
      </c>
      <c r="E25">
        <f>50*percentage_OD_matrix!E53</f>
        <v>0</v>
      </c>
      <c r="F25">
        <v>0</v>
      </c>
      <c r="G25">
        <v>0</v>
      </c>
      <c r="H25">
        <f>50*percentage_OD_matrix!H53</f>
        <v>0</v>
      </c>
      <c r="I25">
        <f>50*percentage_OD_matrix!I53</f>
        <v>0</v>
      </c>
      <c r="J25">
        <f>100*percentage_OD_matrix!J53</f>
        <v>0</v>
      </c>
      <c r="K25">
        <f>50*percentage_OD_matrix!K53</f>
        <v>0</v>
      </c>
      <c r="L25" s="34">
        <f t="shared" si="2"/>
        <v>6.94</v>
      </c>
      <c r="N25">
        <v>1</v>
      </c>
      <c r="Q25" s="36">
        <f>L25/G30</f>
        <v>0.16184701492537312</v>
      </c>
    </row>
    <row r="26" spans="1:17" x14ac:dyDescent="0.3">
      <c r="A26" s="4" t="s">
        <v>6</v>
      </c>
      <c r="B26">
        <v>20.07</v>
      </c>
      <c r="C26">
        <f>150*percentage_OD_matrix!C54</f>
        <v>0</v>
      </c>
      <c r="D26">
        <f>50*percentage_OD_matrix!D54</f>
        <v>0</v>
      </c>
      <c r="E26">
        <f>50*percentage_OD_matrix!E54</f>
        <v>0</v>
      </c>
      <c r="F26">
        <f>50*percentage_OD_matrix!F54</f>
        <v>0</v>
      </c>
      <c r="G26">
        <f>50*percentage_OD_matrix!G54</f>
        <v>0</v>
      </c>
      <c r="H26">
        <f>50*percentage_OD_matrix!H54</f>
        <v>0</v>
      </c>
      <c r="I26">
        <f>50*percentage_OD_matrix!I54</f>
        <v>0</v>
      </c>
      <c r="J26">
        <f>100*percentage_OD_matrix!J54</f>
        <v>0</v>
      </c>
      <c r="K26">
        <f>50*percentage_OD_matrix!K54</f>
        <v>0</v>
      </c>
      <c r="L26" s="34">
        <f t="shared" si="2"/>
        <v>20.07</v>
      </c>
      <c r="N26">
        <v>1</v>
      </c>
      <c r="Q26" s="36">
        <f>L26/H30</f>
        <v>0.40148029605921182</v>
      </c>
    </row>
    <row r="27" spans="1:17" x14ac:dyDescent="0.3">
      <c r="A27" s="4" t="s">
        <v>7</v>
      </c>
      <c r="B27">
        <v>18.809999999999999</v>
      </c>
      <c r="C27">
        <f>150*percentage_OD_matrix!C55</f>
        <v>0</v>
      </c>
      <c r="D27">
        <f>50*percentage_OD_matrix!D55</f>
        <v>0</v>
      </c>
      <c r="E27">
        <f>50*percentage_OD_matrix!E55</f>
        <v>0</v>
      </c>
      <c r="F27">
        <f>50*percentage_OD_matrix!F55</f>
        <v>0</v>
      </c>
      <c r="G27">
        <f>50*percentage_OD_matrix!G55</f>
        <v>0</v>
      </c>
      <c r="H27">
        <v>4.53</v>
      </c>
      <c r="I27">
        <v>0</v>
      </c>
      <c r="J27">
        <v>0</v>
      </c>
      <c r="K27">
        <v>0</v>
      </c>
      <c r="L27" s="34">
        <f t="shared" si="2"/>
        <v>23.34</v>
      </c>
      <c r="N27">
        <v>1</v>
      </c>
      <c r="Q27" s="36">
        <f>L27/I30</f>
        <v>0.51341838979322485</v>
      </c>
    </row>
    <row r="28" spans="1:17" x14ac:dyDescent="0.3">
      <c r="A28" s="4" t="s">
        <v>8</v>
      </c>
      <c r="B28">
        <v>22.58</v>
      </c>
      <c r="C28">
        <f>150*percentage_OD_matrix!C56</f>
        <v>0</v>
      </c>
      <c r="D28">
        <f>50*percentage_OD_matrix!D56</f>
        <v>0</v>
      </c>
      <c r="E28">
        <f>50*percentage_OD_matrix!E56</f>
        <v>0</v>
      </c>
      <c r="F28">
        <f>50*percentage_OD_matrix!F56</f>
        <v>0</v>
      </c>
      <c r="G28">
        <f>50*percentage_OD_matrix!G56</f>
        <v>0</v>
      </c>
      <c r="H28">
        <v>5.44</v>
      </c>
      <c r="I28">
        <v>5.44</v>
      </c>
      <c r="J28">
        <v>0</v>
      </c>
      <c r="K28">
        <v>5.44</v>
      </c>
      <c r="L28" s="34">
        <f t="shared" si="2"/>
        <v>38.9</v>
      </c>
      <c r="N28">
        <v>2</v>
      </c>
      <c r="Q28" s="36">
        <f>L28/J30</f>
        <v>0.50506361983900283</v>
      </c>
    </row>
    <row r="29" spans="1:17" x14ac:dyDescent="0.3">
      <c r="A29" s="4" t="s">
        <v>9</v>
      </c>
      <c r="B29">
        <v>12.54</v>
      </c>
      <c r="C29">
        <f>150*percentage_OD_matrix!C57</f>
        <v>0</v>
      </c>
      <c r="D29">
        <f>50*percentage_OD_matrix!D57</f>
        <v>0</v>
      </c>
      <c r="E29">
        <f>50*percentage_OD_matrix!E57</f>
        <v>0</v>
      </c>
      <c r="F29">
        <f>50*percentage_OD_matrix!F57</f>
        <v>0</v>
      </c>
      <c r="G29">
        <f>50*percentage_OD_matrix!G57</f>
        <v>0</v>
      </c>
      <c r="H29">
        <v>3.02</v>
      </c>
      <c r="I29">
        <v>3.02</v>
      </c>
      <c r="J29">
        <v>3.02</v>
      </c>
      <c r="K29">
        <v>0</v>
      </c>
      <c r="L29" s="34">
        <f t="shared" si="2"/>
        <v>21.599999999999998</v>
      </c>
      <c r="N29">
        <v>1</v>
      </c>
      <c r="Q29" s="36">
        <f>L29/K30</f>
        <v>0.50895381715362864</v>
      </c>
    </row>
    <row r="30" spans="1:17" x14ac:dyDescent="0.3">
      <c r="A30" s="34" t="s">
        <v>114</v>
      </c>
      <c r="B30" s="34">
        <f t="shared" ref="B30:K30" si="3">SUM(B20:B29)</f>
        <v>199.99999999999997</v>
      </c>
      <c r="C30" s="34">
        <f t="shared" si="3"/>
        <v>110.33</v>
      </c>
      <c r="D30" s="34">
        <f t="shared" si="3"/>
        <v>40.5</v>
      </c>
      <c r="E30" s="34">
        <f t="shared" si="3"/>
        <v>40.5</v>
      </c>
      <c r="F30" s="34">
        <f t="shared" si="3"/>
        <v>42.88</v>
      </c>
      <c r="G30" s="34">
        <f t="shared" si="3"/>
        <v>42.88</v>
      </c>
      <c r="H30" s="34">
        <f t="shared" si="3"/>
        <v>49.99</v>
      </c>
      <c r="I30" s="34">
        <f t="shared" si="3"/>
        <v>45.46</v>
      </c>
      <c r="J30" s="34">
        <f t="shared" si="3"/>
        <v>77.02</v>
      </c>
      <c r="K30" s="34">
        <f t="shared" si="3"/>
        <v>42.44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distinct_flight_paths_reduced</vt:lpstr>
      <vt:lpstr>rating_per_OD_pair</vt:lpstr>
      <vt:lpstr>percentage_OD_matrix</vt:lpstr>
      <vt:lpstr>actual_demand_matrix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Barbian</dc:creator>
  <cp:lastModifiedBy>Luuk Barbian</cp:lastModifiedBy>
  <dcterms:created xsi:type="dcterms:W3CDTF">2024-08-05T10:44:44Z</dcterms:created>
  <dcterms:modified xsi:type="dcterms:W3CDTF">2024-08-09T10:20:29Z</dcterms:modified>
</cp:coreProperties>
</file>