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e8ede75418a1548/Documenten/Thesis/PythonThesis/instance_generation/"/>
    </mc:Choice>
  </mc:AlternateContent>
  <xr:revisionPtr revIDLastSave="8" documentId="11_AD4D7A0C205A6B9A452FA8CA37596C885BDEDD78" xr6:coauthVersionLast="47" xr6:coauthVersionMax="47" xr10:uidLastSave="{9B725460-FE66-49CE-A8F9-ACD10753F4C8}"/>
  <bookViews>
    <workbookView xWindow="19090" yWindow="-11790" windowWidth="38620" windowHeight="21100" activeTab="1" xr2:uid="{00000000-000D-0000-FFFF-FFFF00000000}"/>
  </bookViews>
  <sheets>
    <sheet name="demand_info" sheetId="1" r:id="rId1"/>
    <sheet name="commodity_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2" l="1"/>
  <c r="AD21" i="2"/>
  <c r="Y21" i="2"/>
  <c r="U21" i="2"/>
  <c r="P21" i="2"/>
  <c r="L21" i="2"/>
  <c r="G21" i="2"/>
  <c r="C21" i="2"/>
  <c r="AH20" i="2"/>
  <c r="AD20" i="2"/>
  <c r="Y20" i="2"/>
  <c r="U20" i="2"/>
  <c r="P20" i="2"/>
  <c r="L20" i="2"/>
  <c r="G20" i="2"/>
  <c r="C20" i="2"/>
  <c r="AH19" i="2"/>
  <c r="AD19" i="2"/>
  <c r="Y19" i="2"/>
  <c r="U19" i="2"/>
  <c r="P19" i="2"/>
  <c r="L19" i="2"/>
  <c r="G19" i="2"/>
  <c r="C19" i="2"/>
  <c r="AH18" i="2"/>
  <c r="AD18" i="2"/>
  <c r="Y18" i="2"/>
  <c r="U18" i="2"/>
  <c r="P18" i="2"/>
  <c r="L18" i="2"/>
  <c r="G18" i="2"/>
  <c r="C18" i="2"/>
  <c r="AC61" i="1"/>
  <c r="Y61" i="1"/>
  <c r="S61" i="1"/>
  <c r="AH60" i="1"/>
  <c r="Y60" i="1"/>
  <c r="S60" i="1"/>
  <c r="AH59" i="1"/>
  <c r="AC59" i="1"/>
  <c r="S59" i="1"/>
  <c r="AH50" i="1"/>
  <c r="AC50" i="1"/>
  <c r="Y50" i="1"/>
  <c r="S50" i="1"/>
  <c r="AH37" i="1"/>
  <c r="AC37" i="1"/>
  <c r="X37" i="1"/>
  <c r="S37" i="1"/>
  <c r="AH36" i="1"/>
  <c r="AC36" i="1"/>
  <c r="X36" i="1"/>
  <c r="S36" i="1"/>
  <c r="S33" i="1"/>
  <c r="S32" i="1"/>
  <c r="S31" i="1"/>
  <c r="S30" i="1"/>
  <c r="X29" i="1"/>
  <c r="S29" i="1"/>
  <c r="X28" i="1"/>
  <c r="S28" i="1"/>
  <c r="X27" i="1"/>
  <c r="S27" i="1"/>
  <c r="X26" i="1"/>
  <c r="S26" i="1"/>
  <c r="X25" i="1"/>
  <c r="S25" i="1"/>
  <c r="X24" i="1"/>
  <c r="S24" i="1"/>
  <c r="AH23" i="1"/>
  <c r="AC23" i="1"/>
  <c r="AH22" i="1"/>
  <c r="AC22" i="1"/>
  <c r="O16" i="1"/>
  <c r="L16" i="1"/>
  <c r="J16" i="1"/>
  <c r="O15" i="1"/>
  <c r="N14" i="1"/>
  <c r="O14" i="1" s="1"/>
  <c r="K14" i="1"/>
  <c r="L13" i="1"/>
  <c r="J13" i="1"/>
  <c r="O13" i="1" s="1"/>
  <c r="AE12" i="1"/>
  <c r="AD12" i="1"/>
  <c r="AF12" i="1" s="1"/>
  <c r="AC12" i="1"/>
  <c r="AB12" i="1"/>
  <c r="AA12" i="1"/>
  <c r="Z12" i="1"/>
  <c r="Y12" i="1"/>
  <c r="X12" i="1"/>
  <c r="W12" i="1"/>
  <c r="V12" i="1"/>
  <c r="U12" i="1"/>
  <c r="N12" i="1"/>
  <c r="K12" i="1"/>
  <c r="O12" i="1" s="1"/>
  <c r="K6" i="1"/>
  <c r="J6" i="1"/>
  <c r="P5" i="1"/>
  <c r="O6" i="1" s="1"/>
  <c r="U13" i="1" l="1"/>
  <c r="W13" i="1"/>
  <c r="X13" i="1"/>
  <c r="Y13" i="1"/>
  <c r="Z13" i="1"/>
  <c r="V13" i="1"/>
  <c r="AC13" i="1"/>
  <c r="AB13" i="1"/>
  <c r="AA13" i="1"/>
  <c r="AE13" i="1"/>
  <c r="AD13" i="1"/>
  <c r="M6" i="1"/>
  <c r="L6" i="1"/>
  <c r="N6" i="1"/>
</calcChain>
</file>

<file path=xl/sharedStrings.xml><?xml version="1.0" encoding="utf-8"?>
<sst xmlns="http://schemas.openxmlformats.org/spreadsheetml/2006/main" count="1142" uniqueCount="134">
  <si>
    <t>EU</t>
  </si>
  <si>
    <t>SA</t>
  </si>
  <si>
    <t>NrA</t>
  </si>
  <si>
    <t>AF</t>
  </si>
  <si>
    <t>NEA</t>
  </si>
  <si>
    <t>CA</t>
  </si>
  <si>
    <t>Van Bockstaele et al. (2023)</t>
  </si>
  <si>
    <t>Boeing World Cargo Forecast</t>
  </si>
  <si>
    <t>MIA</t>
  </si>
  <si>
    <t>VCP</t>
  </si>
  <si>
    <t>BOG</t>
  </si>
  <si>
    <t>UIO</t>
  </si>
  <si>
    <t>EZE</t>
  </si>
  <si>
    <t>SCL</t>
  </si>
  <si>
    <t>GUA</t>
  </si>
  <si>
    <t>NBO</t>
  </si>
  <si>
    <t>CAI</t>
  </si>
  <si>
    <t>JNB</t>
  </si>
  <si>
    <t>HRE</t>
  </si>
  <si>
    <t>-</t>
  </si>
  <si>
    <t>???</t>
  </si>
  <si>
    <t>AA</t>
  </si>
  <si>
    <t>A</t>
  </si>
  <si>
    <t>B</t>
  </si>
  <si>
    <t>AFRICA</t>
  </si>
  <si>
    <t>exports africa to europe</t>
  </si>
  <si>
    <t>imports europe to africa</t>
  </si>
  <si>
    <t>general africa markets</t>
  </si>
  <si>
    <t>east africa (NBO)</t>
  </si>
  <si>
    <t>kenya (NBO)</t>
  </si>
  <si>
    <t>north africa (CAI)</t>
  </si>
  <si>
    <t>egypt (CAI)</t>
  </si>
  <si>
    <t>AMS</t>
  </si>
  <si>
    <t>rating:</t>
  </si>
  <si>
    <t>2nd rating:</t>
  </si>
  <si>
    <t>original:</t>
  </si>
  <si>
    <t>south africa (HRE, JNB)</t>
  </si>
  <si>
    <t>south africa (JNB)</t>
  </si>
  <si>
    <t>*</t>
  </si>
  <si>
    <t>JNB 6%; HRE 4%</t>
  </si>
  <si>
    <t>JNB 15%; HRE 7%</t>
  </si>
  <si>
    <t xml:space="preserve">zimbabwe (HRE) </t>
  </si>
  <si>
    <t>africa to europe tonnes:</t>
  </si>
  <si>
    <t>europe to africa tonnes</t>
  </si>
  <si>
    <t>intra-africa tonnes (excluding domestic)</t>
  </si>
  <si>
    <t>C</t>
  </si>
  <si>
    <t>880 000</t>
  </si>
  <si>
    <t>689 000</t>
  </si>
  <si>
    <t>326 000</t>
  </si>
  <si>
    <t>D</t>
  </si>
  <si>
    <t>All intra SA via AMS</t>
  </si>
  <si>
    <t>NORTH-AMERICA - EUROPE</t>
  </si>
  <si>
    <t>All intra SA via MIA</t>
  </si>
  <si>
    <t>general north-america - europe markets</t>
  </si>
  <si>
    <t>All intra AF via AMS</t>
  </si>
  <si>
    <t>germany</t>
  </si>
  <si>
    <t xml:space="preserve">1 of 2 Intra SA via MIA </t>
  </si>
  <si>
    <t>E</t>
  </si>
  <si>
    <t>uk</t>
  </si>
  <si>
    <t>2 of 3 via AMS</t>
  </si>
  <si>
    <t>italy</t>
  </si>
  <si>
    <t>MIA-SA via AMS</t>
  </si>
  <si>
    <t>france</t>
  </si>
  <si>
    <t>nl (AMS)</t>
  </si>
  <si>
    <t>north-america to europe tonnes</t>
  </si>
  <si>
    <t>europe to north-america tonnes</t>
  </si>
  <si>
    <t>1.5 M</t>
  </si>
  <si>
    <t>2.1 M</t>
  </si>
  <si>
    <t>LATIN-AMERICA EUROPE</t>
  </si>
  <si>
    <t>general latin-america europe markets</t>
  </si>
  <si>
    <t xml:space="preserve">south america: </t>
  </si>
  <si>
    <t>560 000 tonnes (67%)</t>
  </si>
  <si>
    <t>central america:</t>
  </si>
  <si>
    <t>254 000 tonnes (23%)</t>
  </si>
  <si>
    <t>caribbean: …</t>
  </si>
  <si>
    <t>brazil (VCP)</t>
  </si>
  <si>
    <t>mexico</t>
  </si>
  <si>
    <t>colombia (BOG)</t>
  </si>
  <si>
    <t xml:space="preserve">panama </t>
  </si>
  <si>
    <t>ecuador (UIO)</t>
  </si>
  <si>
    <t>costa rica</t>
  </si>
  <si>
    <t>argentina (EZE)</t>
  </si>
  <si>
    <t>guatemala (GUA)</t>
  </si>
  <si>
    <t>chile (SCL)</t>
  </si>
  <si>
    <t>latin-america to europe tonnes</t>
  </si>
  <si>
    <t>europe to latin-america tonnes</t>
  </si>
  <si>
    <t>417 000</t>
  </si>
  <si>
    <t>463 000</t>
  </si>
  <si>
    <t>LATIN-AMERICA NORTH-AMERICA</t>
  </si>
  <si>
    <t>general latin-america north-america martkets</t>
  </si>
  <si>
    <t>south america:</t>
  </si>
  <si>
    <t>1 220 000 tonnes (75%)</t>
  </si>
  <si>
    <t xml:space="preserve">central america: </t>
  </si>
  <si>
    <t>300 000 tonnes (19%)</t>
  </si>
  <si>
    <t>latin-america to north-america tonnes</t>
  </si>
  <si>
    <t>north-america to latin-america tonnes</t>
  </si>
  <si>
    <t>intra-latin america tonnes</t>
  </si>
  <si>
    <t>1 060 000</t>
  </si>
  <si>
    <t>575 000</t>
  </si>
  <si>
    <t>ORIGINAL</t>
  </si>
  <si>
    <t>Definitions</t>
  </si>
  <si>
    <t>chemicals</t>
  </si>
  <si>
    <t>Wide variety of products such as fertilizers, raw materials for the pharmaceutical and cosmetics industries, flavoring agents, adhesives, and sealants, as well as reference materials for laboratory testing.</t>
  </si>
  <si>
    <t>perishables</t>
  </si>
  <si>
    <t>Time and/or temperature-sensitive items that require fast and safe delivery to maintain quality and effectiveness. For example meat, fish, fruits, vegetables and flowers</t>
  </si>
  <si>
    <t>heavy</t>
  </si>
  <si>
    <t>Commodities not belonging to the previous two categories that are characterized by a higher density, such as metals, machinery, or computers.</t>
  </si>
  <si>
    <t>other</t>
  </si>
  <si>
    <t>Generic requests that do not belong to any of the previous three categories</t>
  </si>
  <si>
    <t>Africa to Europe</t>
  </si>
  <si>
    <t>Europe to Africa</t>
  </si>
  <si>
    <t>North America to Europe</t>
  </si>
  <si>
    <t>Europe to North America</t>
  </si>
  <si>
    <t>Latin America to Europe</t>
  </si>
  <si>
    <t>Europe to Latin America</t>
  </si>
  <si>
    <t>Latin America to North America</t>
  </si>
  <si>
    <t>North America to Latin America</t>
  </si>
  <si>
    <t>Perishables</t>
  </si>
  <si>
    <t>Machinery</t>
  </si>
  <si>
    <t>Metals</t>
  </si>
  <si>
    <t>Chemicals</t>
  </si>
  <si>
    <t>Art</t>
  </si>
  <si>
    <t>Documents</t>
  </si>
  <si>
    <t>Transportation equip</t>
  </si>
  <si>
    <t>Computers</t>
  </si>
  <si>
    <t>Textiles</t>
  </si>
  <si>
    <t>Glass</t>
  </si>
  <si>
    <t>Animal products</t>
  </si>
  <si>
    <t>Transportation equp</t>
  </si>
  <si>
    <t>Vegetables</t>
  </si>
  <si>
    <t>Mischellaneous</t>
  </si>
  <si>
    <t>Other</t>
  </si>
  <si>
    <t>Wood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</si>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</sst>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9" fontId="0" fillId="0" borderId="0" xfId="0" applyNumberFormat="1"/>
    <xf numFmtId="49" fontId="0" fillId="0" borderId="0" xfId="0" applyNumberFormat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10" borderId="0" xfId="0" applyFont="1" applyFill="1"/>
    <xf numFmtId="0" fontId="0" fillId="10" borderId="0" xfId="0" applyFill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0" borderId="0" xfId="0" applyAlignment="1">
      <alignment horizontal="left"/>
    </xf>
    <xf numFmtId="9" fontId="0" fillId="4" borderId="0" xfId="0" applyNumberFormat="1" applyFill="1"/>
    <xf numFmtId="0" fontId="10" fillId="3" borderId="0" xfId="0" applyFont="1" applyFill="1"/>
    <xf numFmtId="9" fontId="0" fillId="3" borderId="0" xfId="0" applyNumberFormat="1" applyFill="1"/>
    <xf numFmtId="0" fontId="10" fillId="11" borderId="0" xfId="0" applyFont="1" applyFill="1"/>
    <xf numFmtId="0" fontId="0" fillId="11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"/>
  <sheetViews>
    <sheetView workbookViewId="0">
      <selection activeCell="M23" sqref="M23"/>
    </sheetView>
  </sheetViews>
  <sheetFormatPr defaultRowHeight="14.4" x14ac:dyDescent="0.3"/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32" x14ac:dyDescent="0.3">
      <c r="A2" t="s">
        <v>0</v>
      </c>
      <c r="B2">
        <v>0</v>
      </c>
      <c r="C2">
        <v>9.7261953412341645E-2</v>
      </c>
      <c r="D2">
        <v>0.55905190028606455</v>
      </c>
      <c r="E2">
        <v>0.12709440130772373</v>
      </c>
      <c r="F2">
        <v>0.14957090314671026</v>
      </c>
      <c r="G2">
        <v>6.7020841847159784E-2</v>
      </c>
    </row>
    <row r="3" spans="1:32" x14ac:dyDescent="0.3">
      <c r="A3" t="s">
        <v>1</v>
      </c>
      <c r="B3">
        <v>0.27772600186393293</v>
      </c>
      <c r="C3">
        <v>0</v>
      </c>
      <c r="D3">
        <v>0.66076421248835038</v>
      </c>
      <c r="E3">
        <v>6.5237651444547996E-3</v>
      </c>
      <c r="F3">
        <v>1.5843429636533086E-2</v>
      </c>
      <c r="G3">
        <v>3.9142590866728798E-2</v>
      </c>
    </row>
    <row r="4" spans="1:32" x14ac:dyDescent="0.3">
      <c r="A4" t="s">
        <v>2</v>
      </c>
      <c r="B4">
        <v>0.54456018518518523</v>
      </c>
      <c r="C4">
        <v>0.19849537037037038</v>
      </c>
      <c r="D4">
        <v>0</v>
      </c>
      <c r="E4">
        <v>2.6041666666666668E-2</v>
      </c>
      <c r="F4">
        <v>0.15856481481481483</v>
      </c>
      <c r="G4">
        <v>7.2337962962962965E-2</v>
      </c>
    </row>
    <row r="5" spans="1:32" x14ac:dyDescent="0.3">
      <c r="A5" t="s">
        <v>3</v>
      </c>
      <c r="B5">
        <v>0.90683229813664601</v>
      </c>
      <c r="C5">
        <v>2.070393374741201E-3</v>
      </c>
      <c r="D5">
        <v>7.6604554865424432E-2</v>
      </c>
      <c r="E5">
        <v>0</v>
      </c>
      <c r="F5">
        <v>1.2422360248447204E-2</v>
      </c>
      <c r="G5">
        <v>2.070393374741201E-3</v>
      </c>
      <c r="J5">
        <v>438</v>
      </c>
      <c r="K5">
        <v>1</v>
      </c>
      <c r="L5">
        <v>37</v>
      </c>
      <c r="M5">
        <v>0</v>
      </c>
      <c r="N5">
        <v>6</v>
      </c>
      <c r="O5">
        <v>1</v>
      </c>
      <c r="P5">
        <f>SUM(J5:O5)</f>
        <v>483</v>
      </c>
    </row>
    <row r="6" spans="1:32" x14ac:dyDescent="0.3">
      <c r="A6" t="s">
        <v>4</v>
      </c>
      <c r="B6">
        <v>0.46357615894039733</v>
      </c>
      <c r="C6">
        <v>1.9867549668874173E-2</v>
      </c>
      <c r="D6">
        <v>0.48344370860927155</v>
      </c>
      <c r="E6">
        <v>2.2075055187637971E-2</v>
      </c>
      <c r="F6">
        <v>0</v>
      </c>
      <c r="G6">
        <v>1.1037527593818985E-2</v>
      </c>
      <c r="J6">
        <f>J5/$P$5</f>
        <v>0.90683229813664601</v>
      </c>
      <c r="K6">
        <f t="shared" ref="K6:O6" si="0">K5/$P$5</f>
        <v>2.070393374741201E-3</v>
      </c>
      <c r="L6">
        <f t="shared" si="0"/>
        <v>7.6604554865424432E-2</v>
      </c>
      <c r="M6">
        <f t="shared" si="0"/>
        <v>0</v>
      </c>
      <c r="N6">
        <f t="shared" si="0"/>
        <v>1.2422360248447204E-2</v>
      </c>
      <c r="O6">
        <f t="shared" si="0"/>
        <v>2.070393374741201E-3</v>
      </c>
    </row>
    <row r="7" spans="1:32" x14ac:dyDescent="0.3">
      <c r="A7" t="s">
        <v>5</v>
      </c>
      <c r="B7">
        <v>0.35335689045936397</v>
      </c>
      <c r="C7">
        <v>7.7738515901060068E-2</v>
      </c>
      <c r="D7">
        <v>0.52650176678445226</v>
      </c>
      <c r="E7">
        <v>7.0671378091872791E-3</v>
      </c>
      <c r="F7">
        <v>3.5335689045936397E-2</v>
      </c>
      <c r="G7">
        <v>0</v>
      </c>
    </row>
    <row r="10" spans="1:32" x14ac:dyDescent="0.3">
      <c r="A10" s="1" t="s">
        <v>6</v>
      </c>
      <c r="B10" s="2"/>
      <c r="C10" s="2"/>
      <c r="D10" s="2"/>
      <c r="E10" s="2"/>
      <c r="F10" s="2"/>
      <c r="I10" s="3" t="s">
        <v>7</v>
      </c>
      <c r="J10" s="3"/>
      <c r="K10" s="3"/>
      <c r="L10" s="4"/>
      <c r="M10" s="4"/>
      <c r="N10" s="4"/>
    </row>
    <row r="11" spans="1:32" x14ac:dyDescent="0.3">
      <c r="A11" s="2"/>
      <c r="B11" s="2" t="s">
        <v>0</v>
      </c>
      <c r="C11" s="2" t="s">
        <v>1</v>
      </c>
      <c r="D11" s="2" t="s">
        <v>2</v>
      </c>
      <c r="E11" s="2" t="s">
        <v>3</v>
      </c>
      <c r="F11" s="2" t="s">
        <v>5</v>
      </c>
      <c r="I11" s="4"/>
      <c r="J11" s="4" t="s">
        <v>0</v>
      </c>
      <c r="K11" s="4" t="s">
        <v>1</v>
      </c>
      <c r="L11" s="4" t="s">
        <v>2</v>
      </c>
      <c r="M11" s="4" t="s">
        <v>3</v>
      </c>
      <c r="N11" s="4" t="s">
        <v>5</v>
      </c>
      <c r="U11" t="s">
        <v>8</v>
      </c>
      <c r="V11" t="s">
        <v>9</v>
      </c>
      <c r="W11" t="s">
        <v>10</v>
      </c>
      <c r="X11" t="s">
        <v>11</v>
      </c>
      <c r="Y11" t="s">
        <v>12</v>
      </c>
      <c r="Z11" t="s">
        <v>13</v>
      </c>
      <c r="AA11" t="s">
        <v>14</v>
      </c>
      <c r="AB11" t="s">
        <v>15</v>
      </c>
      <c r="AC11" t="s">
        <v>16</v>
      </c>
      <c r="AD11" t="s">
        <v>17</v>
      </c>
      <c r="AE11" t="s">
        <v>18</v>
      </c>
    </row>
    <row r="12" spans="1:32" x14ac:dyDescent="0.3">
      <c r="A12" s="2" t="s">
        <v>0</v>
      </c>
      <c r="B12" s="2" t="s">
        <v>19</v>
      </c>
      <c r="C12" s="2">
        <v>238</v>
      </c>
      <c r="D12" s="2">
        <v>1368</v>
      </c>
      <c r="E12" s="2">
        <v>311</v>
      </c>
      <c r="F12" s="2">
        <v>164</v>
      </c>
      <c r="I12" s="4" t="s">
        <v>0</v>
      </c>
      <c r="J12" s="4">
        <v>0</v>
      </c>
      <c r="K12" s="4">
        <f>463*0.67</f>
        <v>310.21000000000004</v>
      </c>
      <c r="L12" s="4">
        <v>2100</v>
      </c>
      <c r="M12" s="4">
        <v>689</v>
      </c>
      <c r="N12" s="4">
        <f>463*0.23</f>
        <v>106.49000000000001</v>
      </c>
      <c r="O12">
        <f>SUM(J12:N12)</f>
        <v>3205.7</v>
      </c>
      <c r="U12">
        <f>L12*0.09</f>
        <v>189</v>
      </c>
      <c r="V12">
        <f>417*0.67*0.53</f>
        <v>148.07670000000002</v>
      </c>
      <c r="W12">
        <f>417*0.67*0.12</f>
        <v>33.526800000000001</v>
      </c>
      <c r="X12">
        <f>417*0.67*0.09</f>
        <v>25.145100000000003</v>
      </c>
      <c r="Y12">
        <f>417*0.67*0.09</f>
        <v>25.145100000000003</v>
      </c>
      <c r="Z12">
        <f>417*0.67*0.08</f>
        <v>22.351200000000002</v>
      </c>
      <c r="AA12">
        <f>417*0.23*0.02</f>
        <v>1.9182000000000003</v>
      </c>
      <c r="AB12">
        <f>689*0.18</f>
        <v>124.02</v>
      </c>
      <c r="AC12">
        <f>689*0.16</f>
        <v>110.24000000000001</v>
      </c>
      <c r="AD12">
        <f>689*0.15</f>
        <v>103.35</v>
      </c>
      <c r="AE12">
        <f>689*0.08</f>
        <v>55.120000000000005</v>
      </c>
      <c r="AF12">
        <f>SUM(U12:AE12)</f>
        <v>837.89310000000012</v>
      </c>
    </row>
    <row r="13" spans="1:32" x14ac:dyDescent="0.3">
      <c r="A13" s="2" t="s">
        <v>1</v>
      </c>
      <c r="B13" s="2">
        <v>298</v>
      </c>
      <c r="C13" s="2" t="s">
        <v>20</v>
      </c>
      <c r="D13" s="2">
        <v>709</v>
      </c>
      <c r="E13" s="2">
        <v>7</v>
      </c>
      <c r="F13" s="2">
        <v>42</v>
      </c>
      <c r="I13" s="4" t="s">
        <v>1</v>
      </c>
      <c r="J13" s="4">
        <f>417*0.67</f>
        <v>279.39000000000004</v>
      </c>
      <c r="K13" s="5">
        <v>240</v>
      </c>
      <c r="L13" s="4">
        <f>1060*0.75</f>
        <v>795</v>
      </c>
      <c r="M13" s="4">
        <v>3</v>
      </c>
      <c r="N13" s="5">
        <v>100</v>
      </c>
      <c r="O13">
        <f t="shared" ref="O13:O16" si="1">SUM(J13:N13)</f>
        <v>1417.39</v>
      </c>
      <c r="U13">
        <f>U12/$AF$12</f>
        <v>0.22556576727985941</v>
      </c>
      <c r="V13">
        <f t="shared" ref="V13:AE13" si="2">V12/$AF$12</f>
        <v>0.17672505000936276</v>
      </c>
      <c r="W13">
        <f t="shared" si="2"/>
        <v>4.0013218870044394E-2</v>
      </c>
      <c r="X13">
        <f t="shared" si="2"/>
        <v>3.0009914152533301E-2</v>
      </c>
      <c r="Y13">
        <f t="shared" si="2"/>
        <v>3.0009914152533301E-2</v>
      </c>
      <c r="Z13">
        <f t="shared" si="2"/>
        <v>2.6675479246696266E-2</v>
      </c>
      <c r="AA13">
        <f t="shared" si="2"/>
        <v>2.2893135174403513E-3</v>
      </c>
      <c r="AB13">
        <f t="shared" si="2"/>
        <v>0.14801410824364108</v>
      </c>
      <c r="AC13">
        <f t="shared" si="2"/>
        <v>0.13156809621656987</v>
      </c>
      <c r="AD13">
        <f t="shared" si="2"/>
        <v>0.12334509020303423</v>
      </c>
      <c r="AE13">
        <f t="shared" si="2"/>
        <v>6.5784048108284934E-2</v>
      </c>
    </row>
    <row r="14" spans="1:32" x14ac:dyDescent="0.3">
      <c r="A14" s="2" t="s">
        <v>2</v>
      </c>
      <c r="B14" s="2">
        <v>941</v>
      </c>
      <c r="C14" s="2">
        <v>343</v>
      </c>
      <c r="D14" s="2" t="s">
        <v>19</v>
      </c>
      <c r="E14" s="2">
        <v>45</v>
      </c>
      <c r="F14" s="2">
        <v>125</v>
      </c>
      <c r="I14" s="4" t="s">
        <v>2</v>
      </c>
      <c r="J14" s="4">
        <v>1500</v>
      </c>
      <c r="K14" s="4">
        <f>575*0.75</f>
        <v>431.25</v>
      </c>
      <c r="L14" s="4">
        <v>0</v>
      </c>
      <c r="M14" s="5">
        <v>40</v>
      </c>
      <c r="N14" s="4">
        <f>575*0.19</f>
        <v>109.25</v>
      </c>
      <c r="O14">
        <f t="shared" si="1"/>
        <v>2080.5</v>
      </c>
      <c r="U14" t="s">
        <v>21</v>
      </c>
      <c r="V14" t="s">
        <v>21</v>
      </c>
      <c r="AB14" t="s">
        <v>22</v>
      </c>
      <c r="AC14" t="s">
        <v>22</v>
      </c>
      <c r="AD14" t="s">
        <v>23</v>
      </c>
    </row>
    <row r="15" spans="1:32" x14ac:dyDescent="0.3">
      <c r="A15" s="2" t="s">
        <v>3</v>
      </c>
      <c r="B15" s="2">
        <v>438</v>
      </c>
      <c r="C15" s="2">
        <v>1</v>
      </c>
      <c r="D15" s="2">
        <v>37</v>
      </c>
      <c r="E15" s="2" t="s">
        <v>20</v>
      </c>
      <c r="F15" s="2">
        <v>1</v>
      </c>
      <c r="I15" s="4" t="s">
        <v>3</v>
      </c>
      <c r="J15" s="4">
        <v>880</v>
      </c>
      <c r="K15" s="5">
        <v>15</v>
      </c>
      <c r="L15" s="5">
        <v>80</v>
      </c>
      <c r="M15" s="4">
        <v>326</v>
      </c>
      <c r="N15" s="5">
        <v>3</v>
      </c>
      <c r="O15">
        <f t="shared" si="1"/>
        <v>1304</v>
      </c>
    </row>
    <row r="16" spans="1:32" x14ac:dyDescent="0.3">
      <c r="A16" s="2" t="s">
        <v>5</v>
      </c>
      <c r="B16" s="2">
        <v>100</v>
      </c>
      <c r="C16" s="2">
        <v>22</v>
      </c>
      <c r="D16" s="2">
        <v>149</v>
      </c>
      <c r="E16" s="2">
        <v>2</v>
      </c>
      <c r="F16" s="2" t="s">
        <v>19</v>
      </c>
      <c r="I16" s="4" t="s">
        <v>5</v>
      </c>
      <c r="J16" s="4">
        <f>417*0.23</f>
        <v>95.910000000000011</v>
      </c>
      <c r="K16" s="5">
        <v>140</v>
      </c>
      <c r="L16" s="4">
        <f>1060*0.19</f>
        <v>201.4</v>
      </c>
      <c r="M16" s="5">
        <v>3</v>
      </c>
      <c r="N16" s="4">
        <v>0</v>
      </c>
      <c r="O16">
        <f t="shared" si="1"/>
        <v>440.31000000000006</v>
      </c>
    </row>
    <row r="18" spans="1:37" x14ac:dyDescent="0.3">
      <c r="A18" s="6" t="s">
        <v>24</v>
      </c>
    </row>
    <row r="19" spans="1:37" x14ac:dyDescent="0.3">
      <c r="A19" t="s">
        <v>25</v>
      </c>
      <c r="E19" t="s">
        <v>26</v>
      </c>
      <c r="J19" t="s">
        <v>27</v>
      </c>
    </row>
    <row r="20" spans="1:37" x14ac:dyDescent="0.3">
      <c r="A20" t="s">
        <v>28</v>
      </c>
      <c r="C20" s="7">
        <v>0.56999999999999995</v>
      </c>
      <c r="E20" t="s">
        <v>28</v>
      </c>
      <c r="G20" s="7">
        <v>0.16</v>
      </c>
      <c r="J20" t="s">
        <v>29</v>
      </c>
      <c r="L20" s="7">
        <v>0.18</v>
      </c>
    </row>
    <row r="21" spans="1:37" x14ac:dyDescent="0.3">
      <c r="A21" t="s">
        <v>30</v>
      </c>
      <c r="C21" s="7">
        <v>0.19</v>
      </c>
      <c r="E21" t="s">
        <v>30</v>
      </c>
      <c r="G21" s="7">
        <v>0.24</v>
      </c>
      <c r="J21" t="s">
        <v>31</v>
      </c>
      <c r="L21" s="7">
        <v>0.16</v>
      </c>
      <c r="S21" t="s">
        <v>32</v>
      </c>
      <c r="T21" t="s">
        <v>33</v>
      </c>
      <c r="U21" t="s">
        <v>34</v>
      </c>
      <c r="V21" t="s">
        <v>35</v>
      </c>
      <c r="X21" t="s">
        <v>8</v>
      </c>
      <c r="Y21" t="s">
        <v>33</v>
      </c>
      <c r="Z21" t="s">
        <v>34</v>
      </c>
      <c r="AA21" t="s">
        <v>35</v>
      </c>
      <c r="AC21" t="s">
        <v>10</v>
      </c>
      <c r="AD21" t="s">
        <v>33</v>
      </c>
      <c r="AE21" t="s">
        <v>34</v>
      </c>
      <c r="AF21" t="s">
        <v>35</v>
      </c>
      <c r="AH21" t="s">
        <v>11</v>
      </c>
      <c r="AI21" t="s">
        <v>33</v>
      </c>
      <c r="AJ21" t="s">
        <v>34</v>
      </c>
      <c r="AK21" t="s">
        <v>35</v>
      </c>
    </row>
    <row r="22" spans="1:37" x14ac:dyDescent="0.3">
      <c r="A22" t="s">
        <v>36</v>
      </c>
      <c r="C22" s="7">
        <v>0.1</v>
      </c>
      <c r="E22" t="s">
        <v>36</v>
      </c>
      <c r="G22" s="7">
        <v>0.22</v>
      </c>
      <c r="J22" t="s">
        <v>37</v>
      </c>
      <c r="L22" s="7">
        <v>0.15</v>
      </c>
      <c r="R22" t="s">
        <v>32</v>
      </c>
      <c r="S22" t="s">
        <v>19</v>
      </c>
      <c r="T22">
        <v>0</v>
      </c>
      <c r="U22" s="6">
        <v>0</v>
      </c>
      <c r="V22">
        <v>0</v>
      </c>
      <c r="W22" t="s">
        <v>32</v>
      </c>
      <c r="X22" t="s">
        <v>38</v>
      </c>
      <c r="Y22" t="s">
        <v>22</v>
      </c>
      <c r="Z22" s="6" t="s">
        <v>22</v>
      </c>
      <c r="AA22" s="8" t="s">
        <v>22</v>
      </c>
      <c r="AB22" t="s">
        <v>32</v>
      </c>
      <c r="AC22">
        <f>0.67*0.12*417</f>
        <v>33.526800000000001</v>
      </c>
      <c r="AD22" t="s">
        <v>23</v>
      </c>
      <c r="AE22" s="6" t="s">
        <v>23</v>
      </c>
      <c r="AF22" s="8" t="s">
        <v>23</v>
      </c>
      <c r="AG22" t="s">
        <v>32</v>
      </c>
      <c r="AH22">
        <f>0.67*0.09*417</f>
        <v>25.145099999999999</v>
      </c>
      <c r="AI22" t="s">
        <v>23</v>
      </c>
      <c r="AJ22" s="6" t="s">
        <v>23</v>
      </c>
      <c r="AK22" s="8" t="s">
        <v>23</v>
      </c>
    </row>
    <row r="23" spans="1:37" x14ac:dyDescent="0.3">
      <c r="B23" t="s">
        <v>39</v>
      </c>
      <c r="F23" t="s">
        <v>40</v>
      </c>
      <c r="J23" t="s">
        <v>41</v>
      </c>
      <c r="L23" t="s">
        <v>20</v>
      </c>
      <c r="M23" s="7">
        <v>0.1</v>
      </c>
      <c r="R23" t="s">
        <v>8</v>
      </c>
      <c r="S23" t="s">
        <v>38</v>
      </c>
      <c r="T23" t="s">
        <v>22</v>
      </c>
      <c r="U23" s="6" t="s">
        <v>22</v>
      </c>
      <c r="V23" t="s">
        <v>22</v>
      </c>
      <c r="W23" t="s">
        <v>8</v>
      </c>
      <c r="X23" t="s">
        <v>19</v>
      </c>
      <c r="Y23">
        <v>0</v>
      </c>
      <c r="Z23" s="6">
        <v>0</v>
      </c>
      <c r="AA23">
        <v>0</v>
      </c>
      <c r="AB23" t="s">
        <v>8</v>
      </c>
      <c r="AC23">
        <f>0.26*0.75*1060</f>
        <v>206.70000000000002</v>
      </c>
      <c r="AD23" t="s">
        <v>21</v>
      </c>
      <c r="AE23" s="6" t="s">
        <v>21</v>
      </c>
      <c r="AF23" t="s">
        <v>23</v>
      </c>
      <c r="AG23" t="s">
        <v>8</v>
      </c>
      <c r="AH23">
        <f>0.09*0.75*1060</f>
        <v>71.550000000000011</v>
      </c>
      <c r="AI23" t="s">
        <v>22</v>
      </c>
      <c r="AJ23" s="6" t="s">
        <v>22</v>
      </c>
      <c r="AK23" t="s">
        <v>23</v>
      </c>
    </row>
    <row r="24" spans="1:37" x14ac:dyDescent="0.3">
      <c r="A24" t="s">
        <v>42</v>
      </c>
      <c r="E24" t="s">
        <v>43</v>
      </c>
      <c r="J24" t="s">
        <v>44</v>
      </c>
      <c r="R24" t="s">
        <v>10</v>
      </c>
      <c r="S24">
        <f>463*0.67*0.12</f>
        <v>37.225200000000001</v>
      </c>
      <c r="T24" t="s">
        <v>45</v>
      </c>
      <c r="U24" s="6" t="s">
        <v>45</v>
      </c>
      <c r="V24" t="s">
        <v>23</v>
      </c>
      <c r="W24" t="s">
        <v>10</v>
      </c>
      <c r="X24">
        <f>575*0.75*0.26</f>
        <v>112.125</v>
      </c>
      <c r="Y24" t="s">
        <v>22</v>
      </c>
      <c r="Z24" s="6" t="s">
        <v>22</v>
      </c>
      <c r="AA24" t="s">
        <v>23</v>
      </c>
      <c r="AB24" t="s">
        <v>10</v>
      </c>
      <c r="AC24">
        <v>0</v>
      </c>
      <c r="AD24">
        <v>0</v>
      </c>
      <c r="AE24" s="6">
        <v>0</v>
      </c>
      <c r="AF24">
        <v>0</v>
      </c>
      <c r="AG24" t="s">
        <v>10</v>
      </c>
      <c r="AH24" t="s">
        <v>38</v>
      </c>
      <c r="AI24" t="s">
        <v>23</v>
      </c>
      <c r="AJ24" s="6" t="s">
        <v>23</v>
      </c>
      <c r="AK24" t="s">
        <v>23</v>
      </c>
    </row>
    <row r="25" spans="1:37" x14ac:dyDescent="0.3">
      <c r="A25" t="s">
        <v>46</v>
      </c>
      <c r="E25" t="s">
        <v>47</v>
      </c>
      <c r="J25" t="s">
        <v>48</v>
      </c>
      <c r="R25" t="s">
        <v>11</v>
      </c>
      <c r="S25">
        <f>463*0.67*0.09</f>
        <v>27.918900000000001</v>
      </c>
      <c r="T25" t="s">
        <v>49</v>
      </c>
      <c r="U25" s="6" t="s">
        <v>49</v>
      </c>
      <c r="V25" t="s">
        <v>45</v>
      </c>
      <c r="W25" t="s">
        <v>11</v>
      </c>
      <c r="X25">
        <f>575*0.75*0.09</f>
        <v>38.8125</v>
      </c>
      <c r="Y25" s="9" t="s">
        <v>45</v>
      </c>
      <c r="Z25" s="6" t="s">
        <v>49</v>
      </c>
      <c r="AA25" t="s">
        <v>49</v>
      </c>
      <c r="AB25" t="s">
        <v>11</v>
      </c>
      <c r="AC25" t="s">
        <v>38</v>
      </c>
      <c r="AD25" s="10" t="s">
        <v>23</v>
      </c>
      <c r="AE25" s="6" t="s">
        <v>23</v>
      </c>
      <c r="AF25" t="s">
        <v>45</v>
      </c>
      <c r="AG25" t="s">
        <v>11</v>
      </c>
      <c r="AH25">
        <v>0</v>
      </c>
      <c r="AI25">
        <v>0</v>
      </c>
      <c r="AJ25" s="6" t="s">
        <v>23</v>
      </c>
      <c r="AK25">
        <v>0</v>
      </c>
    </row>
    <row r="26" spans="1:37" x14ac:dyDescent="0.3">
      <c r="O26" s="5" t="s">
        <v>50</v>
      </c>
      <c r="P26" s="5"/>
      <c r="Q26" s="5"/>
      <c r="R26" t="s">
        <v>13</v>
      </c>
      <c r="S26">
        <f>463*0.67*0.08</f>
        <v>24.816800000000004</v>
      </c>
      <c r="T26" t="s">
        <v>49</v>
      </c>
      <c r="U26" s="6" t="s">
        <v>49</v>
      </c>
      <c r="V26" t="s">
        <v>45</v>
      </c>
      <c r="W26" t="s">
        <v>13</v>
      </c>
      <c r="X26">
        <f>575*0.75*0.3</f>
        <v>129.375</v>
      </c>
      <c r="Y26" s="11" t="s">
        <v>22</v>
      </c>
      <c r="Z26" s="6" t="s">
        <v>23</v>
      </c>
      <c r="AA26" t="s">
        <v>23</v>
      </c>
      <c r="AB26" t="s">
        <v>13</v>
      </c>
      <c r="AC26" t="s">
        <v>38</v>
      </c>
      <c r="AD26" s="5" t="s">
        <v>23</v>
      </c>
      <c r="AE26" s="6" t="s">
        <v>45</v>
      </c>
      <c r="AF26" t="s">
        <v>49</v>
      </c>
      <c r="AG26" t="s">
        <v>13</v>
      </c>
      <c r="AH26" t="s">
        <v>38</v>
      </c>
      <c r="AI26" s="5" t="s">
        <v>23</v>
      </c>
      <c r="AJ26" s="6" t="s">
        <v>45</v>
      </c>
      <c r="AK26" t="s">
        <v>49</v>
      </c>
    </row>
    <row r="27" spans="1:37" x14ac:dyDescent="0.3">
      <c r="A27" s="6" t="s">
        <v>51</v>
      </c>
      <c r="O27" s="10" t="s">
        <v>52</v>
      </c>
      <c r="P27" s="10"/>
      <c r="Q27" s="10"/>
      <c r="R27" t="s">
        <v>9</v>
      </c>
      <c r="S27">
        <f>463*0.67*0.53</f>
        <v>164.41130000000004</v>
      </c>
      <c r="T27" t="s">
        <v>21</v>
      </c>
      <c r="U27" s="6" t="s">
        <v>21</v>
      </c>
      <c r="V27" t="s">
        <v>22</v>
      </c>
      <c r="W27" t="s">
        <v>9</v>
      </c>
      <c r="X27">
        <f>575*0.75*0.19</f>
        <v>81.9375</v>
      </c>
      <c r="Y27" s="11" t="s">
        <v>23</v>
      </c>
      <c r="Z27" s="6" t="s">
        <v>45</v>
      </c>
      <c r="AA27" t="s">
        <v>23</v>
      </c>
      <c r="AB27" t="s">
        <v>9</v>
      </c>
      <c r="AC27" t="s">
        <v>38</v>
      </c>
      <c r="AD27" s="5" t="s">
        <v>23</v>
      </c>
      <c r="AE27" s="6" t="s">
        <v>45</v>
      </c>
      <c r="AF27" t="s">
        <v>49</v>
      </c>
      <c r="AG27" t="s">
        <v>9</v>
      </c>
      <c r="AH27" t="s">
        <v>38</v>
      </c>
      <c r="AI27" s="5" t="s">
        <v>23</v>
      </c>
      <c r="AJ27" s="6" t="s">
        <v>45</v>
      </c>
      <c r="AK27" t="s">
        <v>49</v>
      </c>
    </row>
    <row r="28" spans="1:37" x14ac:dyDescent="0.3">
      <c r="A28" t="s">
        <v>53</v>
      </c>
      <c r="O28" s="12" t="s">
        <v>54</v>
      </c>
      <c r="P28" s="12"/>
      <c r="Q28" s="12"/>
      <c r="R28" t="s">
        <v>12</v>
      </c>
      <c r="S28">
        <f>463*0.67*0.09</f>
        <v>27.918900000000001</v>
      </c>
      <c r="T28" t="s">
        <v>49</v>
      </c>
      <c r="U28" s="13" t="s">
        <v>45</v>
      </c>
      <c r="V28" t="s">
        <v>45</v>
      </c>
      <c r="W28" t="s">
        <v>12</v>
      </c>
      <c r="X28">
        <f>575*0.75*0.08</f>
        <v>34.5</v>
      </c>
      <c r="Y28">
        <v>0</v>
      </c>
      <c r="Z28" s="6">
        <v>0</v>
      </c>
      <c r="AA28" t="s">
        <v>45</v>
      </c>
      <c r="AB28" t="s">
        <v>12</v>
      </c>
      <c r="AC28">
        <v>0</v>
      </c>
      <c r="AD28">
        <v>0</v>
      </c>
      <c r="AE28" s="6">
        <v>0</v>
      </c>
      <c r="AF28" t="s">
        <v>45</v>
      </c>
      <c r="AG28" t="s">
        <v>12</v>
      </c>
      <c r="AH28">
        <v>0</v>
      </c>
      <c r="AI28">
        <v>0</v>
      </c>
      <c r="AJ28" s="6">
        <v>0</v>
      </c>
      <c r="AK28" t="s">
        <v>45</v>
      </c>
    </row>
    <row r="29" spans="1:37" x14ac:dyDescent="0.3">
      <c r="A29" t="s">
        <v>55</v>
      </c>
      <c r="B29" s="7">
        <v>0.23</v>
      </c>
      <c r="O29" s="14" t="s">
        <v>56</v>
      </c>
      <c r="P29" s="14"/>
      <c r="Q29" s="15"/>
      <c r="R29" t="s">
        <v>14</v>
      </c>
      <c r="S29">
        <f>463*0.23*0.02</f>
        <v>2.1298000000000004</v>
      </c>
      <c r="T29" t="s">
        <v>57</v>
      </c>
      <c r="U29" s="6" t="s">
        <v>57</v>
      </c>
      <c r="V29" t="s">
        <v>49</v>
      </c>
      <c r="W29" t="s">
        <v>14</v>
      </c>
      <c r="X29">
        <f>575*0.19*0.08</f>
        <v>8.74</v>
      </c>
      <c r="Y29" t="s">
        <v>49</v>
      </c>
      <c r="Z29" s="6" t="s">
        <v>49</v>
      </c>
      <c r="AA29" t="s">
        <v>49</v>
      </c>
      <c r="AB29" t="s">
        <v>14</v>
      </c>
      <c r="AC29" t="s">
        <v>38</v>
      </c>
      <c r="AD29" s="10" t="s">
        <v>45</v>
      </c>
      <c r="AE29" s="6" t="s">
        <v>45</v>
      </c>
      <c r="AF29" t="s">
        <v>45</v>
      </c>
      <c r="AG29" t="s">
        <v>14</v>
      </c>
      <c r="AH29" t="s">
        <v>38</v>
      </c>
      <c r="AI29" s="5" t="s">
        <v>45</v>
      </c>
      <c r="AJ29" s="6" t="s">
        <v>49</v>
      </c>
      <c r="AK29" t="s">
        <v>49</v>
      </c>
    </row>
    <row r="30" spans="1:37" x14ac:dyDescent="0.3">
      <c r="A30" t="s">
        <v>58</v>
      </c>
      <c r="B30" s="7">
        <v>0.13</v>
      </c>
      <c r="O30" s="9" t="s">
        <v>59</v>
      </c>
      <c r="P30" s="9"/>
      <c r="Q30" s="9"/>
      <c r="R30" t="s">
        <v>16</v>
      </c>
      <c r="S30">
        <f>689*0.24</f>
        <v>165.35999999999999</v>
      </c>
      <c r="T30" t="s">
        <v>21</v>
      </c>
      <c r="U30" s="6" t="s">
        <v>21</v>
      </c>
      <c r="V30" t="s">
        <v>22</v>
      </c>
      <c r="W30" t="s">
        <v>16</v>
      </c>
      <c r="X30" t="s">
        <v>38</v>
      </c>
      <c r="Y30">
        <v>0</v>
      </c>
      <c r="Z30" s="6">
        <v>0</v>
      </c>
      <c r="AA30" t="s">
        <v>49</v>
      </c>
      <c r="AB30" t="s">
        <v>16</v>
      </c>
      <c r="AC30">
        <v>0</v>
      </c>
      <c r="AD30">
        <v>0</v>
      </c>
      <c r="AE30" s="6">
        <v>0</v>
      </c>
      <c r="AF30" t="s">
        <v>57</v>
      </c>
      <c r="AG30" t="s">
        <v>16</v>
      </c>
      <c r="AH30">
        <v>0</v>
      </c>
      <c r="AI30">
        <v>0</v>
      </c>
      <c r="AJ30" s="6">
        <v>0</v>
      </c>
      <c r="AK30" t="s">
        <v>57</v>
      </c>
    </row>
    <row r="31" spans="1:37" x14ac:dyDescent="0.3">
      <c r="A31" t="s">
        <v>60</v>
      </c>
      <c r="B31" s="7">
        <v>0.11</v>
      </c>
      <c r="O31" s="11" t="s">
        <v>61</v>
      </c>
      <c r="P31" s="11"/>
      <c r="Q31" s="11"/>
      <c r="R31" t="s">
        <v>17</v>
      </c>
      <c r="S31">
        <f>689*0.15</f>
        <v>103.35</v>
      </c>
      <c r="T31" t="s">
        <v>22</v>
      </c>
      <c r="U31" s="6" t="s">
        <v>22</v>
      </c>
      <c r="V31" t="s">
        <v>23</v>
      </c>
      <c r="W31" t="s">
        <v>17</v>
      </c>
      <c r="X31" t="s">
        <v>38</v>
      </c>
      <c r="Y31" t="s">
        <v>49</v>
      </c>
      <c r="Z31" s="6" t="s">
        <v>49</v>
      </c>
      <c r="AA31" t="s">
        <v>49</v>
      </c>
      <c r="AB31" t="s">
        <v>17</v>
      </c>
      <c r="AC31" t="s">
        <v>38</v>
      </c>
      <c r="AD31" t="s">
        <v>57</v>
      </c>
      <c r="AE31" s="6" t="s">
        <v>57</v>
      </c>
      <c r="AF31" t="s">
        <v>57</v>
      </c>
      <c r="AG31" t="s">
        <v>17</v>
      </c>
      <c r="AH31" t="s">
        <v>38</v>
      </c>
      <c r="AI31" t="s">
        <v>57</v>
      </c>
      <c r="AJ31" s="6" t="s">
        <v>57</v>
      </c>
      <c r="AK31" t="s">
        <v>57</v>
      </c>
    </row>
    <row r="32" spans="1:37" x14ac:dyDescent="0.3">
      <c r="A32" t="s">
        <v>62</v>
      </c>
      <c r="B32" s="7">
        <v>0.09</v>
      </c>
      <c r="R32" t="s">
        <v>15</v>
      </c>
      <c r="S32">
        <f>689*0.16</f>
        <v>110.24000000000001</v>
      </c>
      <c r="T32" t="s">
        <v>22</v>
      </c>
      <c r="U32" s="6" t="s">
        <v>22</v>
      </c>
      <c r="V32" t="s">
        <v>23</v>
      </c>
      <c r="W32" t="s">
        <v>15</v>
      </c>
      <c r="X32" t="s">
        <v>38</v>
      </c>
      <c r="Y32" t="s">
        <v>49</v>
      </c>
      <c r="Z32" s="6" t="s">
        <v>49</v>
      </c>
      <c r="AA32" t="s">
        <v>49</v>
      </c>
      <c r="AB32" t="s">
        <v>15</v>
      </c>
      <c r="AC32" t="s">
        <v>38</v>
      </c>
      <c r="AD32" t="s">
        <v>57</v>
      </c>
      <c r="AE32" s="6" t="s">
        <v>57</v>
      </c>
      <c r="AF32" t="s">
        <v>57</v>
      </c>
      <c r="AG32" t="s">
        <v>15</v>
      </c>
      <c r="AH32" t="s">
        <v>38</v>
      </c>
      <c r="AI32" t="s">
        <v>57</v>
      </c>
      <c r="AJ32" s="6" t="s">
        <v>57</v>
      </c>
      <c r="AK32" t="s">
        <v>57</v>
      </c>
    </row>
    <row r="33" spans="1:37" x14ac:dyDescent="0.3">
      <c r="A33" t="s">
        <v>63</v>
      </c>
      <c r="B33" s="7">
        <v>0.09</v>
      </c>
      <c r="R33" t="s">
        <v>18</v>
      </c>
      <c r="S33">
        <f>689*0.07</f>
        <v>48.230000000000004</v>
      </c>
      <c r="T33" t="s">
        <v>45</v>
      </c>
      <c r="U33" s="6" t="s">
        <v>45</v>
      </c>
      <c r="V33" t="s">
        <v>45</v>
      </c>
      <c r="W33" t="s">
        <v>18</v>
      </c>
      <c r="X33" t="s">
        <v>38</v>
      </c>
      <c r="Y33" t="s">
        <v>49</v>
      </c>
      <c r="Z33" s="6" t="s">
        <v>49</v>
      </c>
      <c r="AA33" t="s">
        <v>49</v>
      </c>
      <c r="AB33" t="s">
        <v>18</v>
      </c>
      <c r="AC33" s="16" t="s">
        <v>38</v>
      </c>
      <c r="AD33" s="17" t="s">
        <v>57</v>
      </c>
      <c r="AE33" s="16" t="s">
        <v>57</v>
      </c>
      <c r="AF33" t="s">
        <v>57</v>
      </c>
      <c r="AG33" t="s">
        <v>18</v>
      </c>
      <c r="AH33" t="s">
        <v>38</v>
      </c>
      <c r="AI33" t="s">
        <v>57</v>
      </c>
      <c r="AJ33" s="6" t="s">
        <v>57</v>
      </c>
      <c r="AK33" t="s">
        <v>57</v>
      </c>
    </row>
    <row r="35" spans="1:37" x14ac:dyDescent="0.3">
      <c r="A35" t="s">
        <v>64</v>
      </c>
      <c r="E35" t="s">
        <v>65</v>
      </c>
      <c r="S35" t="s">
        <v>13</v>
      </c>
      <c r="T35" t="s">
        <v>33</v>
      </c>
      <c r="U35" t="s">
        <v>34</v>
      </c>
      <c r="V35" t="s">
        <v>35</v>
      </c>
      <c r="X35" t="s">
        <v>9</v>
      </c>
      <c r="Y35" t="s">
        <v>33</v>
      </c>
      <c r="Z35" t="s">
        <v>34</v>
      </c>
      <c r="AA35" t="s">
        <v>35</v>
      </c>
      <c r="AC35" t="s">
        <v>12</v>
      </c>
      <c r="AD35" t="s">
        <v>33</v>
      </c>
      <c r="AE35" t="s">
        <v>34</v>
      </c>
      <c r="AF35" t="s">
        <v>35</v>
      </c>
      <c r="AH35" t="s">
        <v>14</v>
      </c>
      <c r="AI35" t="s">
        <v>33</v>
      </c>
      <c r="AJ35" t="s">
        <v>35</v>
      </c>
    </row>
    <row r="36" spans="1:37" x14ac:dyDescent="0.3">
      <c r="A36" t="s">
        <v>66</v>
      </c>
      <c r="E36" t="s">
        <v>67</v>
      </c>
      <c r="R36" t="s">
        <v>32</v>
      </c>
      <c r="S36">
        <f>0.67*0.08*417</f>
        <v>22.351200000000002</v>
      </c>
      <c r="T36" t="s">
        <v>23</v>
      </c>
      <c r="U36" s="18" t="s">
        <v>23</v>
      </c>
      <c r="V36" s="8" t="s">
        <v>23</v>
      </c>
      <c r="W36" t="s">
        <v>32</v>
      </c>
      <c r="X36">
        <f>0.67*0.53*417</f>
        <v>148.07670000000002</v>
      </c>
      <c r="Y36" t="s">
        <v>22</v>
      </c>
      <c r="Z36" s="6" t="s">
        <v>22</v>
      </c>
      <c r="AA36" s="8" t="s">
        <v>23</v>
      </c>
      <c r="AB36" t="s">
        <v>32</v>
      </c>
      <c r="AC36">
        <f>0.67*0.09*417</f>
        <v>25.145099999999999</v>
      </c>
      <c r="AD36" t="s">
        <v>23</v>
      </c>
      <c r="AE36" s="6" t="s">
        <v>23</v>
      </c>
      <c r="AF36" s="8" t="s">
        <v>22</v>
      </c>
      <c r="AG36" t="s">
        <v>32</v>
      </c>
      <c r="AH36">
        <f>0.23*0.02*417</f>
        <v>1.9181999999999999</v>
      </c>
      <c r="AI36" s="6" t="s">
        <v>45</v>
      </c>
      <c r="AJ36" s="8" t="s">
        <v>22</v>
      </c>
    </row>
    <row r="37" spans="1:37" x14ac:dyDescent="0.3">
      <c r="R37" t="s">
        <v>8</v>
      </c>
      <c r="S37">
        <f>0.3*0.75*1060</f>
        <v>238.49999999999997</v>
      </c>
      <c r="T37" t="s">
        <v>21</v>
      </c>
      <c r="U37" s="18" t="s">
        <v>21</v>
      </c>
      <c r="V37" t="s">
        <v>23</v>
      </c>
      <c r="W37" t="s">
        <v>8</v>
      </c>
      <c r="X37">
        <f>0.19*0.75*1060</f>
        <v>151.05000000000001</v>
      </c>
      <c r="Y37" t="s">
        <v>22</v>
      </c>
      <c r="Z37" s="6" t="s">
        <v>22</v>
      </c>
      <c r="AA37" t="s">
        <v>23</v>
      </c>
      <c r="AB37" t="s">
        <v>8</v>
      </c>
      <c r="AC37">
        <f>0.08*0.75*1060</f>
        <v>63.599999999999994</v>
      </c>
      <c r="AD37" t="s">
        <v>22</v>
      </c>
      <c r="AE37" s="6" t="s">
        <v>22</v>
      </c>
      <c r="AF37" t="s">
        <v>22</v>
      </c>
      <c r="AG37" t="s">
        <v>8</v>
      </c>
      <c r="AH37">
        <f>0.08*0.19*1060</f>
        <v>16.111999999999998</v>
      </c>
      <c r="AI37" s="6" t="s">
        <v>23</v>
      </c>
      <c r="AJ37" t="s">
        <v>22</v>
      </c>
    </row>
    <row r="38" spans="1:37" x14ac:dyDescent="0.3">
      <c r="A38" s="6" t="s">
        <v>68</v>
      </c>
      <c r="R38" t="s">
        <v>10</v>
      </c>
      <c r="S38" t="s">
        <v>38</v>
      </c>
      <c r="T38" s="10" t="s">
        <v>23</v>
      </c>
      <c r="U38" s="18" t="s">
        <v>23</v>
      </c>
      <c r="V38" t="s">
        <v>45</v>
      </c>
      <c r="W38" t="s">
        <v>10</v>
      </c>
      <c r="X38" s="19" t="s">
        <v>38</v>
      </c>
      <c r="Y38" s="14" t="s">
        <v>23</v>
      </c>
      <c r="Z38" s="20" t="s">
        <v>23</v>
      </c>
      <c r="AA38" t="s">
        <v>45</v>
      </c>
      <c r="AB38" t="s">
        <v>10</v>
      </c>
      <c r="AC38" t="s">
        <v>38</v>
      </c>
      <c r="AD38" t="s">
        <v>23</v>
      </c>
      <c r="AE38" s="6" t="s">
        <v>23</v>
      </c>
      <c r="AF38" t="s">
        <v>23</v>
      </c>
      <c r="AG38" t="s">
        <v>10</v>
      </c>
      <c r="AH38" t="s">
        <v>38</v>
      </c>
      <c r="AI38" s="6" t="s">
        <v>23</v>
      </c>
      <c r="AJ38" t="s">
        <v>23</v>
      </c>
    </row>
    <row r="39" spans="1:37" x14ac:dyDescent="0.3">
      <c r="A39" t="s">
        <v>69</v>
      </c>
      <c r="R39" t="s">
        <v>11</v>
      </c>
      <c r="S39" t="s">
        <v>38</v>
      </c>
      <c r="T39" t="s">
        <v>23</v>
      </c>
      <c r="U39" s="18" t="s">
        <v>23</v>
      </c>
      <c r="V39" t="s">
        <v>23</v>
      </c>
      <c r="W39" t="s">
        <v>11</v>
      </c>
      <c r="X39" t="s">
        <v>38</v>
      </c>
      <c r="Y39" t="s">
        <v>23</v>
      </c>
      <c r="Z39" s="6" t="s">
        <v>23</v>
      </c>
      <c r="AA39" t="s">
        <v>23</v>
      </c>
      <c r="AB39" t="s">
        <v>11</v>
      </c>
      <c r="AC39" t="s">
        <v>38</v>
      </c>
      <c r="AD39" t="s">
        <v>23</v>
      </c>
      <c r="AE39" s="6" t="s">
        <v>23</v>
      </c>
      <c r="AF39" t="s">
        <v>23</v>
      </c>
      <c r="AG39" t="s">
        <v>11</v>
      </c>
      <c r="AH39" t="s">
        <v>38</v>
      </c>
      <c r="AI39" s="6" t="s">
        <v>23</v>
      </c>
      <c r="AJ39" t="s">
        <v>23</v>
      </c>
    </row>
    <row r="40" spans="1:37" x14ac:dyDescent="0.3">
      <c r="A40" t="s">
        <v>70</v>
      </c>
      <c r="C40" t="s">
        <v>71</v>
      </c>
      <c r="E40" t="s">
        <v>72</v>
      </c>
      <c r="G40" t="s">
        <v>73</v>
      </c>
      <c r="K40" t="s">
        <v>74</v>
      </c>
      <c r="Q40" s="21"/>
      <c r="R40" t="s">
        <v>13</v>
      </c>
      <c r="S40">
        <v>0</v>
      </c>
      <c r="T40" s="21">
        <v>0</v>
      </c>
      <c r="U40" s="22">
        <v>0</v>
      </c>
      <c r="V40">
        <v>0</v>
      </c>
      <c r="W40" t="s">
        <v>13</v>
      </c>
      <c r="X40" t="s">
        <v>38</v>
      </c>
      <c r="Y40" t="s">
        <v>23</v>
      </c>
      <c r="Z40" s="6" t="s">
        <v>23</v>
      </c>
      <c r="AA40" t="s">
        <v>23</v>
      </c>
      <c r="AB40" t="s">
        <v>13</v>
      </c>
      <c r="AC40">
        <v>0</v>
      </c>
      <c r="AD40">
        <v>0</v>
      </c>
      <c r="AE40" s="6">
        <v>0</v>
      </c>
      <c r="AF40" t="s">
        <v>45</v>
      </c>
      <c r="AG40" t="s">
        <v>13</v>
      </c>
      <c r="AH40">
        <v>0</v>
      </c>
      <c r="AI40" s="6">
        <v>0</v>
      </c>
      <c r="AJ40" t="s">
        <v>45</v>
      </c>
    </row>
    <row r="41" spans="1:37" x14ac:dyDescent="0.3">
      <c r="A41" t="s">
        <v>75</v>
      </c>
      <c r="C41" s="7">
        <v>0.53</v>
      </c>
      <c r="E41" t="s">
        <v>76</v>
      </c>
      <c r="G41" s="7">
        <v>0.82</v>
      </c>
      <c r="Q41" s="21"/>
      <c r="R41" t="s">
        <v>9</v>
      </c>
      <c r="S41" t="s">
        <v>38</v>
      </c>
      <c r="T41" s="5" t="s">
        <v>23</v>
      </c>
      <c r="U41" s="18" t="s">
        <v>45</v>
      </c>
      <c r="V41" t="s">
        <v>57</v>
      </c>
      <c r="W41" t="s">
        <v>9</v>
      </c>
      <c r="X41">
        <v>0</v>
      </c>
      <c r="Y41">
        <v>0</v>
      </c>
      <c r="Z41" s="6">
        <v>0</v>
      </c>
      <c r="AA41">
        <v>0</v>
      </c>
      <c r="AB41" t="s">
        <v>9</v>
      </c>
      <c r="AC41" t="s">
        <v>38</v>
      </c>
      <c r="AD41" s="5" t="s">
        <v>23</v>
      </c>
      <c r="AE41" s="6" t="s">
        <v>45</v>
      </c>
      <c r="AF41" t="s">
        <v>49</v>
      </c>
      <c r="AG41" t="s">
        <v>9</v>
      </c>
      <c r="AH41">
        <v>0</v>
      </c>
      <c r="AI41" s="6">
        <v>0</v>
      </c>
      <c r="AJ41" t="s">
        <v>45</v>
      </c>
    </row>
    <row r="42" spans="1:37" x14ac:dyDescent="0.3">
      <c r="A42" t="s">
        <v>77</v>
      </c>
      <c r="C42" s="7">
        <v>0.12</v>
      </c>
      <c r="E42" t="s">
        <v>78</v>
      </c>
      <c r="G42" s="7">
        <v>0.12</v>
      </c>
      <c r="Q42" s="21"/>
      <c r="R42" t="s">
        <v>12</v>
      </c>
      <c r="S42">
        <v>0</v>
      </c>
      <c r="T42" s="23">
        <v>0</v>
      </c>
      <c r="U42" s="24">
        <v>0</v>
      </c>
      <c r="V42" t="s">
        <v>45</v>
      </c>
      <c r="W42" t="s">
        <v>12</v>
      </c>
      <c r="X42" t="s">
        <v>38</v>
      </c>
      <c r="Y42" t="s">
        <v>23</v>
      </c>
      <c r="Z42" s="13" t="s">
        <v>21</v>
      </c>
      <c r="AA42" t="s">
        <v>23</v>
      </c>
      <c r="AB42" t="s">
        <v>12</v>
      </c>
      <c r="AC42">
        <v>0</v>
      </c>
      <c r="AD42">
        <v>0</v>
      </c>
      <c r="AE42" s="6">
        <v>0</v>
      </c>
      <c r="AF42">
        <v>0</v>
      </c>
      <c r="AG42" t="s">
        <v>12</v>
      </c>
      <c r="AH42">
        <v>0</v>
      </c>
      <c r="AI42" s="6">
        <v>0</v>
      </c>
      <c r="AJ42" t="s">
        <v>45</v>
      </c>
    </row>
    <row r="43" spans="1:37" x14ac:dyDescent="0.3">
      <c r="A43" t="s">
        <v>79</v>
      </c>
      <c r="C43" s="7">
        <v>0.09</v>
      </c>
      <c r="E43" t="s">
        <v>80</v>
      </c>
      <c r="G43" s="7">
        <v>0.04</v>
      </c>
      <c r="Q43" s="21"/>
      <c r="R43" t="s">
        <v>14</v>
      </c>
      <c r="S43">
        <v>0</v>
      </c>
      <c r="T43" s="23">
        <v>0</v>
      </c>
      <c r="U43" s="24">
        <v>0</v>
      </c>
      <c r="V43" t="s">
        <v>45</v>
      </c>
      <c r="W43" t="s">
        <v>14</v>
      </c>
      <c r="X43" t="s">
        <v>38</v>
      </c>
      <c r="Y43" s="10" t="s">
        <v>45</v>
      </c>
      <c r="Z43" s="6" t="s">
        <v>45</v>
      </c>
      <c r="AA43" t="s">
        <v>49</v>
      </c>
      <c r="AB43" t="s">
        <v>14</v>
      </c>
      <c r="AC43" t="s">
        <v>38</v>
      </c>
      <c r="AD43" t="s">
        <v>45</v>
      </c>
      <c r="AE43" s="6" t="s">
        <v>45</v>
      </c>
      <c r="AF43" t="s">
        <v>45</v>
      </c>
      <c r="AG43" t="s">
        <v>14</v>
      </c>
      <c r="AH43">
        <v>0</v>
      </c>
      <c r="AI43" s="6">
        <v>0</v>
      </c>
      <c r="AJ43">
        <v>0</v>
      </c>
    </row>
    <row r="44" spans="1:37" x14ac:dyDescent="0.3">
      <c r="A44" t="s">
        <v>81</v>
      </c>
      <c r="C44" s="7">
        <v>0.09</v>
      </c>
      <c r="E44" t="s">
        <v>82</v>
      </c>
      <c r="G44" s="7">
        <v>0.02</v>
      </c>
      <c r="Q44" s="21"/>
      <c r="R44" t="s">
        <v>16</v>
      </c>
      <c r="S44">
        <v>0</v>
      </c>
      <c r="T44" s="23">
        <v>0</v>
      </c>
      <c r="U44" s="24">
        <v>0</v>
      </c>
      <c r="V44" t="s">
        <v>57</v>
      </c>
      <c r="W44" t="s">
        <v>16</v>
      </c>
      <c r="X44">
        <v>0</v>
      </c>
      <c r="Y44">
        <v>0</v>
      </c>
      <c r="Z44" s="6">
        <v>0</v>
      </c>
      <c r="AA44" t="s">
        <v>57</v>
      </c>
      <c r="AB44" t="s">
        <v>16</v>
      </c>
      <c r="AC44">
        <v>0</v>
      </c>
      <c r="AD44">
        <v>0</v>
      </c>
      <c r="AE44" s="6">
        <v>0</v>
      </c>
      <c r="AF44" t="s">
        <v>57</v>
      </c>
      <c r="AG44" t="s">
        <v>16</v>
      </c>
      <c r="AH44">
        <v>0</v>
      </c>
      <c r="AI44" s="6">
        <v>0</v>
      </c>
      <c r="AJ44" t="s">
        <v>57</v>
      </c>
    </row>
    <row r="45" spans="1:37" x14ac:dyDescent="0.3">
      <c r="A45" t="s">
        <v>83</v>
      </c>
      <c r="C45" s="7">
        <v>0.08</v>
      </c>
      <c r="Q45" s="21"/>
      <c r="R45" t="s">
        <v>17</v>
      </c>
      <c r="S45" t="s">
        <v>38</v>
      </c>
      <c r="T45" s="25" t="s">
        <v>57</v>
      </c>
      <c r="U45" s="18" t="s">
        <v>57</v>
      </c>
      <c r="V45" t="s">
        <v>57</v>
      </c>
      <c r="W45" t="s">
        <v>17</v>
      </c>
      <c r="X45" t="s">
        <v>38</v>
      </c>
      <c r="Y45" t="s">
        <v>57</v>
      </c>
      <c r="Z45" s="6" t="s">
        <v>57</v>
      </c>
      <c r="AA45" t="s">
        <v>57</v>
      </c>
      <c r="AB45" t="s">
        <v>17</v>
      </c>
      <c r="AC45" t="s">
        <v>38</v>
      </c>
      <c r="AD45" t="s">
        <v>57</v>
      </c>
      <c r="AE45" s="6" t="s">
        <v>57</v>
      </c>
      <c r="AF45" t="s">
        <v>57</v>
      </c>
      <c r="AG45" t="s">
        <v>17</v>
      </c>
      <c r="AH45" t="s">
        <v>38</v>
      </c>
      <c r="AI45" s="6" t="s">
        <v>57</v>
      </c>
      <c r="AJ45" t="s">
        <v>57</v>
      </c>
    </row>
    <row r="46" spans="1:37" x14ac:dyDescent="0.3">
      <c r="R46" t="s">
        <v>15</v>
      </c>
      <c r="S46" t="s">
        <v>38</v>
      </c>
      <c r="T46" s="25" t="s">
        <v>57</v>
      </c>
      <c r="U46" s="18" t="s">
        <v>57</v>
      </c>
      <c r="V46" t="s">
        <v>57</v>
      </c>
      <c r="W46" t="s">
        <v>15</v>
      </c>
      <c r="X46" t="s">
        <v>38</v>
      </c>
      <c r="Y46" t="s">
        <v>57</v>
      </c>
      <c r="Z46" s="6" t="s">
        <v>57</v>
      </c>
      <c r="AA46" t="s">
        <v>57</v>
      </c>
      <c r="AB46" t="s">
        <v>15</v>
      </c>
      <c r="AC46" t="s">
        <v>38</v>
      </c>
      <c r="AD46" t="s">
        <v>57</v>
      </c>
      <c r="AE46" s="6" t="s">
        <v>57</v>
      </c>
      <c r="AF46" t="s">
        <v>57</v>
      </c>
      <c r="AG46" t="s">
        <v>15</v>
      </c>
      <c r="AH46" t="s">
        <v>38</v>
      </c>
      <c r="AI46" s="6" t="s">
        <v>57</v>
      </c>
      <c r="AJ46" t="s">
        <v>57</v>
      </c>
    </row>
    <row r="47" spans="1:37" x14ac:dyDescent="0.3">
      <c r="A47" t="s">
        <v>84</v>
      </c>
      <c r="E47" t="s">
        <v>85</v>
      </c>
      <c r="R47" t="s">
        <v>18</v>
      </c>
      <c r="S47" t="s">
        <v>38</v>
      </c>
      <c r="T47" s="25" t="s">
        <v>57</v>
      </c>
      <c r="U47" s="18" t="s">
        <v>57</v>
      </c>
      <c r="V47" t="s">
        <v>57</v>
      </c>
      <c r="W47" t="s">
        <v>18</v>
      </c>
      <c r="X47" t="s">
        <v>38</v>
      </c>
      <c r="Y47" t="s">
        <v>57</v>
      </c>
      <c r="Z47" s="6" t="s">
        <v>57</v>
      </c>
      <c r="AA47" t="s">
        <v>57</v>
      </c>
      <c r="AB47" t="s">
        <v>18</v>
      </c>
      <c r="AC47" t="s">
        <v>38</v>
      </c>
      <c r="AD47" t="s">
        <v>57</v>
      </c>
      <c r="AE47" s="6" t="s">
        <v>57</v>
      </c>
      <c r="AF47" t="s">
        <v>57</v>
      </c>
      <c r="AG47" t="s">
        <v>18</v>
      </c>
      <c r="AH47" t="s">
        <v>38</v>
      </c>
      <c r="AI47" s="6" t="s">
        <v>57</v>
      </c>
      <c r="AJ47" t="s">
        <v>57</v>
      </c>
    </row>
    <row r="48" spans="1:37" x14ac:dyDescent="0.3">
      <c r="A48" t="s">
        <v>86</v>
      </c>
      <c r="E48" t="s">
        <v>87</v>
      </c>
    </row>
    <row r="49" spans="1:37" x14ac:dyDescent="0.3">
      <c r="S49" t="s">
        <v>16</v>
      </c>
      <c r="T49" t="s">
        <v>33</v>
      </c>
      <c r="U49" t="s">
        <v>34</v>
      </c>
      <c r="V49" t="s">
        <v>35</v>
      </c>
      <c r="Y49" t="s">
        <v>17</v>
      </c>
      <c r="Z49" t="s">
        <v>33</v>
      </c>
      <c r="AA49" t="s">
        <v>35</v>
      </c>
      <c r="AC49" t="s">
        <v>15</v>
      </c>
      <c r="AD49" t="s">
        <v>33</v>
      </c>
      <c r="AE49" t="s">
        <v>34</v>
      </c>
      <c r="AF49" t="s">
        <v>35</v>
      </c>
      <c r="AH49" t="s">
        <v>18</v>
      </c>
      <c r="AI49" t="s">
        <v>33</v>
      </c>
      <c r="AJ49" t="s">
        <v>34</v>
      </c>
      <c r="AK49" t="s">
        <v>35</v>
      </c>
    </row>
    <row r="50" spans="1:37" x14ac:dyDescent="0.3">
      <c r="A50" s="6" t="s">
        <v>88</v>
      </c>
      <c r="R50" t="s">
        <v>32</v>
      </c>
      <c r="S50">
        <f>880*0.19</f>
        <v>167.2</v>
      </c>
      <c r="T50" s="25" t="s">
        <v>21</v>
      </c>
      <c r="U50" s="18" t="s">
        <v>21</v>
      </c>
      <c r="V50" s="8" t="s">
        <v>21</v>
      </c>
      <c r="X50" t="s">
        <v>32</v>
      </c>
      <c r="Y50">
        <f>880*0.06</f>
        <v>52.8</v>
      </c>
      <c r="Z50" s="6" t="s">
        <v>22</v>
      </c>
      <c r="AA50" s="8" t="s">
        <v>22</v>
      </c>
      <c r="AB50" t="s">
        <v>32</v>
      </c>
      <c r="AC50">
        <f>880*0.57</f>
        <v>501.59999999999997</v>
      </c>
      <c r="AD50" t="s">
        <v>21</v>
      </c>
      <c r="AE50" s="6" t="s">
        <v>21</v>
      </c>
      <c r="AF50" s="8" t="s">
        <v>22</v>
      </c>
      <c r="AG50" t="s">
        <v>32</v>
      </c>
      <c r="AH50">
        <f>880*0.04</f>
        <v>35.200000000000003</v>
      </c>
      <c r="AI50" t="s">
        <v>22</v>
      </c>
      <c r="AJ50" s="6" t="s">
        <v>22</v>
      </c>
      <c r="AK50" s="8" t="s">
        <v>22</v>
      </c>
    </row>
    <row r="51" spans="1:37" x14ac:dyDescent="0.3">
      <c r="A51" t="s">
        <v>89</v>
      </c>
      <c r="R51" t="s">
        <v>8</v>
      </c>
      <c r="S51" t="s">
        <v>38</v>
      </c>
      <c r="T51" s="25" t="s">
        <v>45</v>
      </c>
      <c r="U51" s="18" t="s">
        <v>45</v>
      </c>
      <c r="V51" t="s">
        <v>49</v>
      </c>
      <c r="X51" t="s">
        <v>8</v>
      </c>
      <c r="Y51" t="s">
        <v>38</v>
      </c>
      <c r="Z51" s="6" t="s">
        <v>45</v>
      </c>
      <c r="AA51" t="s">
        <v>49</v>
      </c>
      <c r="AB51" t="s">
        <v>8</v>
      </c>
      <c r="AC51" t="s">
        <v>38</v>
      </c>
      <c r="AD51" t="s">
        <v>49</v>
      </c>
      <c r="AE51" s="6" t="s">
        <v>49</v>
      </c>
      <c r="AF51" t="s">
        <v>49</v>
      </c>
      <c r="AG51" t="s">
        <v>8</v>
      </c>
      <c r="AH51" t="s">
        <v>38</v>
      </c>
      <c r="AI51" t="s">
        <v>45</v>
      </c>
      <c r="AJ51" s="6" t="s">
        <v>45</v>
      </c>
      <c r="AK51" t="s">
        <v>49</v>
      </c>
    </row>
    <row r="52" spans="1:37" x14ac:dyDescent="0.3">
      <c r="A52" t="s">
        <v>90</v>
      </c>
      <c r="C52" t="s">
        <v>91</v>
      </c>
      <c r="F52" t="s">
        <v>92</v>
      </c>
      <c r="H52" t="s">
        <v>93</v>
      </c>
      <c r="K52" t="s">
        <v>74</v>
      </c>
      <c r="R52" t="s">
        <v>10</v>
      </c>
      <c r="S52" t="s">
        <v>38</v>
      </c>
      <c r="T52" s="25" t="s">
        <v>57</v>
      </c>
      <c r="U52" s="18" t="s">
        <v>57</v>
      </c>
      <c r="V52" t="s">
        <v>57</v>
      </c>
      <c r="X52" t="s">
        <v>10</v>
      </c>
      <c r="Y52" s="19" t="s">
        <v>38</v>
      </c>
      <c r="Z52" s="20" t="s">
        <v>57</v>
      </c>
      <c r="AA52" t="s">
        <v>57</v>
      </c>
      <c r="AB52" t="s">
        <v>10</v>
      </c>
      <c r="AC52" t="s">
        <v>38</v>
      </c>
      <c r="AD52" t="s">
        <v>57</v>
      </c>
      <c r="AE52" s="6" t="s">
        <v>57</v>
      </c>
      <c r="AF52" t="s">
        <v>57</v>
      </c>
      <c r="AG52" t="s">
        <v>10</v>
      </c>
      <c r="AH52" t="s">
        <v>38</v>
      </c>
      <c r="AI52" s="19" t="s">
        <v>57</v>
      </c>
      <c r="AJ52" s="20" t="s">
        <v>57</v>
      </c>
      <c r="AK52" t="s">
        <v>57</v>
      </c>
    </row>
    <row r="53" spans="1:37" x14ac:dyDescent="0.3">
      <c r="A53" t="s">
        <v>83</v>
      </c>
      <c r="C53" s="7">
        <v>0.3</v>
      </c>
      <c r="F53" t="s">
        <v>76</v>
      </c>
      <c r="H53" s="7">
        <v>0.48</v>
      </c>
      <c r="R53" t="s">
        <v>11</v>
      </c>
      <c r="S53" t="s">
        <v>38</v>
      </c>
      <c r="T53" s="25" t="s">
        <v>57</v>
      </c>
      <c r="U53" s="18" t="s">
        <v>57</v>
      </c>
      <c r="V53" t="s">
        <v>57</v>
      </c>
      <c r="X53" t="s">
        <v>11</v>
      </c>
      <c r="Y53" t="s">
        <v>38</v>
      </c>
      <c r="Z53" s="6" t="s">
        <v>57</v>
      </c>
      <c r="AA53" t="s">
        <v>57</v>
      </c>
      <c r="AB53" t="s">
        <v>11</v>
      </c>
      <c r="AC53" t="s">
        <v>38</v>
      </c>
      <c r="AD53" t="s">
        <v>57</v>
      </c>
      <c r="AE53" s="6" t="s">
        <v>57</v>
      </c>
      <c r="AF53" t="s">
        <v>57</v>
      </c>
      <c r="AG53" t="s">
        <v>11</v>
      </c>
      <c r="AH53" t="s">
        <v>38</v>
      </c>
      <c r="AI53" t="s">
        <v>57</v>
      </c>
      <c r="AJ53" s="6" t="s">
        <v>57</v>
      </c>
      <c r="AK53" t="s">
        <v>57</v>
      </c>
    </row>
    <row r="54" spans="1:37" x14ac:dyDescent="0.3">
      <c r="A54" t="s">
        <v>77</v>
      </c>
      <c r="C54" s="7">
        <v>0.26</v>
      </c>
      <c r="F54" t="s">
        <v>80</v>
      </c>
      <c r="H54" s="7">
        <v>0.2</v>
      </c>
      <c r="R54" t="s">
        <v>13</v>
      </c>
      <c r="S54" t="s">
        <v>38</v>
      </c>
      <c r="T54" s="21" t="s">
        <v>57</v>
      </c>
      <c r="U54" s="26" t="s">
        <v>57</v>
      </c>
      <c r="V54" t="s">
        <v>57</v>
      </c>
      <c r="X54" t="s">
        <v>13</v>
      </c>
      <c r="Y54" t="s">
        <v>38</v>
      </c>
      <c r="Z54" s="6" t="s">
        <v>57</v>
      </c>
      <c r="AA54" t="s">
        <v>57</v>
      </c>
      <c r="AB54" t="s">
        <v>13</v>
      </c>
      <c r="AC54" t="s">
        <v>38</v>
      </c>
      <c r="AD54" t="s">
        <v>57</v>
      </c>
      <c r="AE54" s="6" t="s">
        <v>57</v>
      </c>
      <c r="AF54" t="s">
        <v>57</v>
      </c>
      <c r="AG54" t="s">
        <v>13</v>
      </c>
      <c r="AH54" t="s">
        <v>38</v>
      </c>
      <c r="AI54" t="s">
        <v>57</v>
      </c>
      <c r="AJ54" s="6" t="s">
        <v>57</v>
      </c>
      <c r="AK54" t="s">
        <v>57</v>
      </c>
    </row>
    <row r="55" spans="1:37" x14ac:dyDescent="0.3">
      <c r="A55" t="s">
        <v>75</v>
      </c>
      <c r="C55" s="7">
        <v>0.19</v>
      </c>
      <c r="F55" t="s">
        <v>82</v>
      </c>
      <c r="H55" s="7">
        <v>0.08</v>
      </c>
      <c r="R55" t="s">
        <v>9</v>
      </c>
      <c r="S55" t="s">
        <v>38</v>
      </c>
      <c r="T55" s="25" t="s">
        <v>57</v>
      </c>
      <c r="U55" s="18" t="s">
        <v>57</v>
      </c>
      <c r="V55" t="s">
        <v>57</v>
      </c>
      <c r="X55" t="s">
        <v>9</v>
      </c>
      <c r="Y55" t="s">
        <v>38</v>
      </c>
      <c r="Z55" s="6" t="s">
        <v>57</v>
      </c>
      <c r="AA55" t="s">
        <v>57</v>
      </c>
      <c r="AB55" t="s">
        <v>9</v>
      </c>
      <c r="AC55" t="s">
        <v>38</v>
      </c>
      <c r="AD55" t="s">
        <v>57</v>
      </c>
      <c r="AE55" s="6" t="s">
        <v>57</v>
      </c>
      <c r="AF55" t="s">
        <v>57</v>
      </c>
      <c r="AG55" t="s">
        <v>9</v>
      </c>
      <c r="AH55" t="s">
        <v>38</v>
      </c>
      <c r="AI55" t="s">
        <v>57</v>
      </c>
      <c r="AJ55" s="6" t="s">
        <v>57</v>
      </c>
      <c r="AK55" t="s">
        <v>57</v>
      </c>
    </row>
    <row r="56" spans="1:37" x14ac:dyDescent="0.3">
      <c r="A56" t="s">
        <v>79</v>
      </c>
      <c r="C56" s="7">
        <v>0.09</v>
      </c>
      <c r="R56" t="s">
        <v>12</v>
      </c>
      <c r="S56">
        <v>0</v>
      </c>
      <c r="T56" s="23">
        <v>0</v>
      </c>
      <c r="U56" s="24">
        <v>0</v>
      </c>
      <c r="V56" t="s">
        <v>57</v>
      </c>
      <c r="X56" t="s">
        <v>12</v>
      </c>
      <c r="Y56">
        <v>0</v>
      </c>
      <c r="Z56" s="6">
        <v>0</v>
      </c>
      <c r="AA56" t="s">
        <v>57</v>
      </c>
      <c r="AB56" t="s">
        <v>12</v>
      </c>
      <c r="AC56">
        <v>0</v>
      </c>
      <c r="AD56">
        <v>0</v>
      </c>
      <c r="AE56" s="6">
        <v>0</v>
      </c>
      <c r="AF56" t="s">
        <v>57</v>
      </c>
      <c r="AG56" t="s">
        <v>12</v>
      </c>
      <c r="AH56">
        <v>0</v>
      </c>
      <c r="AI56">
        <v>0</v>
      </c>
      <c r="AJ56" s="6">
        <v>0</v>
      </c>
      <c r="AK56" t="s">
        <v>57</v>
      </c>
    </row>
    <row r="57" spans="1:37" x14ac:dyDescent="0.3">
      <c r="A57" t="s">
        <v>81</v>
      </c>
      <c r="C57" s="7">
        <v>0.08</v>
      </c>
      <c r="R57" t="s">
        <v>14</v>
      </c>
      <c r="S57" t="s">
        <v>38</v>
      </c>
      <c r="T57" s="25" t="s">
        <v>57</v>
      </c>
      <c r="U57" s="18" t="s">
        <v>57</v>
      </c>
      <c r="V57" t="s">
        <v>57</v>
      </c>
      <c r="X57" t="s">
        <v>14</v>
      </c>
      <c r="Y57" t="s">
        <v>38</v>
      </c>
      <c r="Z57" s="6" t="s">
        <v>57</v>
      </c>
      <c r="AA57" t="s">
        <v>57</v>
      </c>
      <c r="AB57" t="s">
        <v>14</v>
      </c>
      <c r="AC57" t="s">
        <v>38</v>
      </c>
      <c r="AD57" t="s">
        <v>57</v>
      </c>
      <c r="AE57" s="6" t="s">
        <v>57</v>
      </c>
      <c r="AF57" t="s">
        <v>57</v>
      </c>
      <c r="AG57" t="s">
        <v>14</v>
      </c>
      <c r="AH57" t="s">
        <v>38</v>
      </c>
      <c r="AI57" t="s">
        <v>57</v>
      </c>
      <c r="AJ57" s="6" t="s">
        <v>57</v>
      </c>
      <c r="AK57" t="s">
        <v>57</v>
      </c>
    </row>
    <row r="58" spans="1:37" x14ac:dyDescent="0.3">
      <c r="R58" t="s">
        <v>16</v>
      </c>
      <c r="S58">
        <v>0</v>
      </c>
      <c r="T58" s="23">
        <v>0</v>
      </c>
      <c r="U58" s="24">
        <v>0</v>
      </c>
      <c r="V58">
        <v>0</v>
      </c>
      <c r="X58" t="s">
        <v>16</v>
      </c>
      <c r="Y58">
        <v>0</v>
      </c>
      <c r="Z58" s="6">
        <v>0</v>
      </c>
      <c r="AA58" t="s">
        <v>45</v>
      </c>
      <c r="AB58" t="s">
        <v>16</v>
      </c>
      <c r="AC58">
        <v>0</v>
      </c>
      <c r="AD58">
        <v>0</v>
      </c>
      <c r="AE58" s="6">
        <v>0</v>
      </c>
      <c r="AF58" t="s">
        <v>45</v>
      </c>
      <c r="AG58" t="s">
        <v>16</v>
      </c>
      <c r="AH58">
        <v>0</v>
      </c>
      <c r="AI58">
        <v>0</v>
      </c>
      <c r="AJ58" s="6">
        <v>0</v>
      </c>
      <c r="AK58" t="s">
        <v>45</v>
      </c>
    </row>
    <row r="59" spans="1:37" x14ac:dyDescent="0.3">
      <c r="A59" t="s">
        <v>94</v>
      </c>
      <c r="E59" t="s">
        <v>95</v>
      </c>
      <c r="J59" t="s">
        <v>96</v>
      </c>
      <c r="R59" t="s">
        <v>17</v>
      </c>
      <c r="S59">
        <f>326*0.15</f>
        <v>48.9</v>
      </c>
      <c r="T59" s="12" t="s">
        <v>23</v>
      </c>
      <c r="U59" s="18" t="s">
        <v>45</v>
      </c>
      <c r="V59" t="s">
        <v>49</v>
      </c>
      <c r="X59" t="s">
        <v>17</v>
      </c>
      <c r="Y59">
        <v>0</v>
      </c>
      <c r="Z59" s="6">
        <v>0</v>
      </c>
      <c r="AA59">
        <v>0</v>
      </c>
      <c r="AB59" t="s">
        <v>17</v>
      </c>
      <c r="AC59">
        <f>326*0.15</f>
        <v>48.9</v>
      </c>
      <c r="AD59" s="12" t="s">
        <v>45</v>
      </c>
      <c r="AE59" s="6" t="s">
        <v>49</v>
      </c>
      <c r="AF59" t="s">
        <v>49</v>
      </c>
      <c r="AG59" t="s">
        <v>17</v>
      </c>
      <c r="AH59">
        <f>326*0.15</f>
        <v>48.9</v>
      </c>
      <c r="AI59" s="12" t="s">
        <v>22</v>
      </c>
      <c r="AJ59" s="6" t="s">
        <v>45</v>
      </c>
      <c r="AK59" t="s">
        <v>49</v>
      </c>
    </row>
    <row r="60" spans="1:37" x14ac:dyDescent="0.3">
      <c r="A60" t="s">
        <v>97</v>
      </c>
      <c r="E60" t="s">
        <v>98</v>
      </c>
      <c r="J60" t="s">
        <v>20</v>
      </c>
      <c r="R60" t="s">
        <v>15</v>
      </c>
      <c r="S60">
        <f>326*0.18</f>
        <v>58.68</v>
      </c>
      <c r="T60" s="25" t="s">
        <v>22</v>
      </c>
      <c r="U60" s="18" t="s">
        <v>22</v>
      </c>
      <c r="V60" t="s">
        <v>23</v>
      </c>
      <c r="X60" t="s">
        <v>15</v>
      </c>
      <c r="Y60">
        <f>326*0.18</f>
        <v>58.68</v>
      </c>
      <c r="Z60" s="6" t="s">
        <v>22</v>
      </c>
      <c r="AA60" t="s">
        <v>23</v>
      </c>
      <c r="AB60" t="s">
        <v>15</v>
      </c>
      <c r="AC60">
        <v>0</v>
      </c>
      <c r="AD60">
        <v>0</v>
      </c>
      <c r="AE60" s="6">
        <v>0</v>
      </c>
      <c r="AF60">
        <v>0</v>
      </c>
      <c r="AG60" t="s">
        <v>15</v>
      </c>
      <c r="AH60">
        <f>236*0.18</f>
        <v>42.48</v>
      </c>
      <c r="AI60" t="s">
        <v>22</v>
      </c>
      <c r="AJ60" s="6" t="s">
        <v>22</v>
      </c>
      <c r="AK60" t="s">
        <v>23</v>
      </c>
    </row>
    <row r="61" spans="1:37" x14ac:dyDescent="0.3">
      <c r="R61" t="s">
        <v>18</v>
      </c>
      <c r="S61">
        <f>326*0.1</f>
        <v>32.6</v>
      </c>
      <c r="T61" s="12" t="s">
        <v>23</v>
      </c>
      <c r="U61" s="18" t="s">
        <v>45</v>
      </c>
      <c r="V61" t="s">
        <v>49</v>
      </c>
      <c r="X61" t="s">
        <v>18</v>
      </c>
      <c r="Y61">
        <f>326*0.1</f>
        <v>32.6</v>
      </c>
      <c r="Z61" s="6" t="s">
        <v>23</v>
      </c>
      <c r="AA61" t="s">
        <v>23</v>
      </c>
      <c r="AB61" t="s">
        <v>18</v>
      </c>
      <c r="AC61">
        <f>326*0.1</f>
        <v>32.6</v>
      </c>
      <c r="AD61" s="12" t="s">
        <v>45</v>
      </c>
      <c r="AE61" s="6" t="s">
        <v>49</v>
      </c>
      <c r="AF61" t="s">
        <v>49</v>
      </c>
      <c r="AG61" t="s">
        <v>18</v>
      </c>
      <c r="AH61">
        <v>0</v>
      </c>
      <c r="AI61">
        <v>0</v>
      </c>
      <c r="AJ61" s="6">
        <v>0</v>
      </c>
      <c r="AK61">
        <v>0</v>
      </c>
    </row>
    <row r="65" spans="18:43" x14ac:dyDescent="0.3">
      <c r="R65" s="6">
        <v>0</v>
      </c>
      <c r="S65" s="6" t="s">
        <v>22</v>
      </c>
      <c r="T65" s="6" t="s">
        <v>23</v>
      </c>
      <c r="U65" s="6" t="s">
        <v>23</v>
      </c>
      <c r="V65" s="18" t="s">
        <v>23</v>
      </c>
      <c r="W65" s="6" t="s">
        <v>22</v>
      </c>
      <c r="X65" s="6" t="s">
        <v>23</v>
      </c>
      <c r="Y65" s="6" t="s">
        <v>45</v>
      </c>
      <c r="Z65" s="18" t="s">
        <v>21</v>
      </c>
      <c r="AA65" s="6" t="s">
        <v>22</v>
      </c>
      <c r="AB65" s="6" t="s">
        <v>21</v>
      </c>
      <c r="AC65" s="6" t="s">
        <v>22</v>
      </c>
      <c r="AE65" s="6" t="s">
        <v>99</v>
      </c>
    </row>
    <row r="66" spans="18:43" x14ac:dyDescent="0.3">
      <c r="R66" s="6" t="s">
        <v>22</v>
      </c>
      <c r="S66" s="6">
        <v>0</v>
      </c>
      <c r="T66" s="6" t="s">
        <v>21</v>
      </c>
      <c r="U66" s="6" t="s">
        <v>22</v>
      </c>
      <c r="V66" s="18" t="s">
        <v>21</v>
      </c>
      <c r="W66" s="6" t="s">
        <v>22</v>
      </c>
      <c r="X66" s="6" t="s">
        <v>22</v>
      </c>
      <c r="Y66" s="6" t="s">
        <v>23</v>
      </c>
      <c r="Z66" s="18" t="s">
        <v>45</v>
      </c>
      <c r="AA66" s="6" t="s">
        <v>45</v>
      </c>
      <c r="AB66" s="6" t="s">
        <v>49</v>
      </c>
      <c r="AC66" s="6" t="s">
        <v>45</v>
      </c>
      <c r="AF66" t="s">
        <v>32</v>
      </c>
      <c r="AG66" t="s">
        <v>8</v>
      </c>
      <c r="AH66" t="s">
        <v>10</v>
      </c>
      <c r="AI66" t="s">
        <v>11</v>
      </c>
      <c r="AJ66" t="s">
        <v>13</v>
      </c>
      <c r="AK66" t="s">
        <v>9</v>
      </c>
      <c r="AL66" t="s">
        <v>12</v>
      </c>
      <c r="AM66" t="s">
        <v>14</v>
      </c>
      <c r="AN66" t="s">
        <v>16</v>
      </c>
      <c r="AO66" t="s">
        <v>17</v>
      </c>
      <c r="AP66" t="s">
        <v>15</v>
      </c>
      <c r="AQ66" t="s">
        <v>18</v>
      </c>
    </row>
    <row r="67" spans="18:43" x14ac:dyDescent="0.3">
      <c r="R67" s="6" t="s">
        <v>45</v>
      </c>
      <c r="S67" s="6" t="s">
        <v>22</v>
      </c>
      <c r="T67" s="6">
        <v>0</v>
      </c>
      <c r="U67" s="6" t="s">
        <v>23</v>
      </c>
      <c r="V67" s="18" t="s">
        <v>23</v>
      </c>
      <c r="W67" s="20" t="s">
        <v>23</v>
      </c>
      <c r="X67" s="6" t="s">
        <v>23</v>
      </c>
      <c r="Y67" s="6" t="s">
        <v>23</v>
      </c>
      <c r="Z67" s="18" t="s">
        <v>57</v>
      </c>
      <c r="AA67" s="20" t="s">
        <v>57</v>
      </c>
      <c r="AB67" s="6" t="s">
        <v>57</v>
      </c>
      <c r="AC67" s="20" t="s">
        <v>57</v>
      </c>
      <c r="AE67" t="s">
        <v>32</v>
      </c>
      <c r="AF67">
        <v>0</v>
      </c>
      <c r="AG67" s="8" t="s">
        <v>22</v>
      </c>
      <c r="AH67" s="8" t="s">
        <v>23</v>
      </c>
      <c r="AI67" s="8" t="s">
        <v>23</v>
      </c>
      <c r="AJ67" s="8" t="s">
        <v>23</v>
      </c>
      <c r="AK67" s="8" t="s">
        <v>23</v>
      </c>
      <c r="AL67" s="8" t="s">
        <v>22</v>
      </c>
      <c r="AM67" s="8" t="s">
        <v>22</v>
      </c>
      <c r="AN67" s="8" t="s">
        <v>21</v>
      </c>
      <c r="AO67" s="8" t="s">
        <v>22</v>
      </c>
      <c r="AP67" s="8" t="s">
        <v>22</v>
      </c>
      <c r="AQ67" s="8" t="s">
        <v>22</v>
      </c>
    </row>
    <row r="68" spans="18:43" x14ac:dyDescent="0.3">
      <c r="R68" s="6" t="s">
        <v>49</v>
      </c>
      <c r="S68" s="6" t="s">
        <v>49</v>
      </c>
      <c r="T68" s="6" t="s">
        <v>23</v>
      </c>
      <c r="U68" s="6" t="s">
        <v>23</v>
      </c>
      <c r="V68" s="18" t="s">
        <v>23</v>
      </c>
      <c r="W68" s="6" t="s">
        <v>23</v>
      </c>
      <c r="X68" s="6" t="s">
        <v>23</v>
      </c>
      <c r="Y68" s="6" t="s">
        <v>23</v>
      </c>
      <c r="Z68" s="18" t="s">
        <v>57</v>
      </c>
      <c r="AA68" s="6" t="s">
        <v>57</v>
      </c>
      <c r="AB68" s="6" t="s">
        <v>57</v>
      </c>
      <c r="AC68" s="6" t="s">
        <v>57</v>
      </c>
      <c r="AE68" t="s">
        <v>8</v>
      </c>
      <c r="AF68" t="s">
        <v>22</v>
      </c>
      <c r="AG68">
        <v>0</v>
      </c>
      <c r="AH68" t="s">
        <v>23</v>
      </c>
      <c r="AI68" t="s">
        <v>23</v>
      </c>
      <c r="AJ68" t="s">
        <v>23</v>
      </c>
      <c r="AK68" t="s">
        <v>23</v>
      </c>
      <c r="AL68" t="s">
        <v>22</v>
      </c>
      <c r="AM68" t="s">
        <v>22</v>
      </c>
      <c r="AN68" t="s">
        <v>49</v>
      </c>
      <c r="AO68" t="s">
        <v>49</v>
      </c>
      <c r="AP68" t="s">
        <v>49</v>
      </c>
      <c r="AQ68" t="s">
        <v>49</v>
      </c>
    </row>
    <row r="69" spans="18:43" x14ac:dyDescent="0.3">
      <c r="R69" s="6" t="s">
        <v>49</v>
      </c>
      <c r="S69" s="6" t="s">
        <v>23</v>
      </c>
      <c r="T69" s="6" t="s">
        <v>45</v>
      </c>
      <c r="U69" s="6" t="s">
        <v>45</v>
      </c>
      <c r="V69" s="22">
        <v>0</v>
      </c>
      <c r="W69" s="6" t="s">
        <v>23</v>
      </c>
      <c r="X69" s="6">
        <v>0</v>
      </c>
      <c r="Y69" s="6">
        <v>0</v>
      </c>
      <c r="Z69" s="26" t="s">
        <v>57</v>
      </c>
      <c r="AA69" s="6" t="s">
        <v>57</v>
      </c>
      <c r="AB69" s="6" t="s">
        <v>57</v>
      </c>
      <c r="AC69" s="6" t="s">
        <v>57</v>
      </c>
      <c r="AE69" t="s">
        <v>10</v>
      </c>
      <c r="AF69" t="s">
        <v>23</v>
      </c>
      <c r="AG69" t="s">
        <v>23</v>
      </c>
      <c r="AH69">
        <v>0</v>
      </c>
      <c r="AI69" t="s">
        <v>23</v>
      </c>
      <c r="AJ69" t="s">
        <v>45</v>
      </c>
      <c r="AK69" t="s">
        <v>45</v>
      </c>
      <c r="AL69" t="s">
        <v>23</v>
      </c>
      <c r="AM69" t="s">
        <v>23</v>
      </c>
      <c r="AN69" t="s">
        <v>57</v>
      </c>
      <c r="AO69" t="s">
        <v>57</v>
      </c>
      <c r="AP69" t="s">
        <v>57</v>
      </c>
      <c r="AQ69" t="s">
        <v>57</v>
      </c>
    </row>
    <row r="70" spans="18:43" x14ac:dyDescent="0.3">
      <c r="R70" s="6" t="s">
        <v>21</v>
      </c>
      <c r="S70" s="6" t="s">
        <v>45</v>
      </c>
      <c r="T70" s="6" t="s">
        <v>45</v>
      </c>
      <c r="U70" s="6" t="s">
        <v>45</v>
      </c>
      <c r="V70" s="18" t="s">
        <v>45</v>
      </c>
      <c r="W70" s="6">
        <v>0</v>
      </c>
      <c r="X70" s="6" t="s">
        <v>45</v>
      </c>
      <c r="Y70" s="6">
        <v>0</v>
      </c>
      <c r="Z70" s="18" t="s">
        <v>57</v>
      </c>
      <c r="AA70" s="6" t="s">
        <v>57</v>
      </c>
      <c r="AB70" s="6" t="s">
        <v>57</v>
      </c>
      <c r="AC70" s="6" t="s">
        <v>57</v>
      </c>
      <c r="AE70" t="s">
        <v>11</v>
      </c>
      <c r="AF70" t="s">
        <v>45</v>
      </c>
      <c r="AG70" t="s">
        <v>49</v>
      </c>
      <c r="AH70" t="s">
        <v>45</v>
      </c>
      <c r="AI70">
        <v>0</v>
      </c>
      <c r="AJ70" t="s">
        <v>23</v>
      </c>
      <c r="AK70" t="s">
        <v>23</v>
      </c>
      <c r="AL70" t="s">
        <v>23</v>
      </c>
      <c r="AM70" t="s">
        <v>23</v>
      </c>
      <c r="AN70" t="s">
        <v>57</v>
      </c>
      <c r="AO70" t="s">
        <v>57</v>
      </c>
      <c r="AP70" t="s">
        <v>57</v>
      </c>
      <c r="AQ70" t="s">
        <v>57</v>
      </c>
    </row>
    <row r="71" spans="18:43" x14ac:dyDescent="0.3">
      <c r="R71" s="6" t="s">
        <v>49</v>
      </c>
      <c r="S71" s="6">
        <v>0</v>
      </c>
      <c r="T71" s="6">
        <v>0</v>
      </c>
      <c r="U71" s="6">
        <v>0</v>
      </c>
      <c r="V71" s="24">
        <v>0</v>
      </c>
      <c r="W71" s="6" t="s">
        <v>23</v>
      </c>
      <c r="X71" s="6">
        <v>0</v>
      </c>
      <c r="Y71" s="6">
        <v>0</v>
      </c>
      <c r="Z71" s="24">
        <v>0</v>
      </c>
      <c r="AA71" s="6">
        <v>0</v>
      </c>
      <c r="AB71" s="6">
        <v>0</v>
      </c>
      <c r="AC71" s="6">
        <v>0</v>
      </c>
      <c r="AE71" t="s">
        <v>13</v>
      </c>
      <c r="AF71" t="s">
        <v>45</v>
      </c>
      <c r="AG71" t="s">
        <v>23</v>
      </c>
      <c r="AH71" t="s">
        <v>49</v>
      </c>
      <c r="AI71" t="s">
        <v>49</v>
      </c>
      <c r="AJ71">
        <v>0</v>
      </c>
      <c r="AK71" t="s">
        <v>23</v>
      </c>
      <c r="AL71" t="s">
        <v>45</v>
      </c>
      <c r="AM71" t="s">
        <v>45</v>
      </c>
      <c r="AN71" t="s">
        <v>57</v>
      </c>
      <c r="AO71" t="s">
        <v>57</v>
      </c>
      <c r="AP71" t="s">
        <v>57</v>
      </c>
      <c r="AQ71" t="s">
        <v>57</v>
      </c>
    </row>
    <row r="72" spans="18:43" x14ac:dyDescent="0.3">
      <c r="R72" s="6" t="s">
        <v>57</v>
      </c>
      <c r="S72" s="6" t="s">
        <v>49</v>
      </c>
      <c r="T72" s="6" t="s">
        <v>45</v>
      </c>
      <c r="U72" s="6" t="s">
        <v>49</v>
      </c>
      <c r="V72" s="24">
        <v>0</v>
      </c>
      <c r="W72" s="6" t="s">
        <v>45</v>
      </c>
      <c r="X72" s="6" t="s">
        <v>45</v>
      </c>
      <c r="Y72" s="6">
        <v>0</v>
      </c>
      <c r="Z72" s="18" t="s">
        <v>57</v>
      </c>
      <c r="AA72" s="6" t="s">
        <v>57</v>
      </c>
      <c r="AB72" s="6" t="s">
        <v>57</v>
      </c>
      <c r="AC72" s="6" t="s">
        <v>57</v>
      </c>
      <c r="AE72" t="s">
        <v>9</v>
      </c>
      <c r="AF72" t="s">
        <v>22</v>
      </c>
      <c r="AG72" t="s">
        <v>23</v>
      </c>
      <c r="AH72" t="s">
        <v>49</v>
      </c>
      <c r="AI72" t="s">
        <v>49</v>
      </c>
      <c r="AJ72" t="s">
        <v>57</v>
      </c>
      <c r="AK72">
        <v>0</v>
      </c>
      <c r="AL72" t="s">
        <v>49</v>
      </c>
      <c r="AM72" t="s">
        <v>45</v>
      </c>
      <c r="AN72" t="s">
        <v>57</v>
      </c>
      <c r="AO72" t="s">
        <v>57</v>
      </c>
      <c r="AP72" t="s">
        <v>57</v>
      </c>
      <c r="AQ72" t="s">
        <v>57</v>
      </c>
    </row>
    <row r="73" spans="18:43" x14ac:dyDescent="0.3">
      <c r="R73" s="6" t="s">
        <v>21</v>
      </c>
      <c r="S73" s="6">
        <v>0</v>
      </c>
      <c r="T73" s="6">
        <v>0</v>
      </c>
      <c r="U73" s="6">
        <v>0</v>
      </c>
      <c r="V73" s="24">
        <v>0</v>
      </c>
      <c r="W73" s="6">
        <v>0</v>
      </c>
      <c r="X73" s="6">
        <v>0</v>
      </c>
      <c r="Y73" s="6">
        <v>0</v>
      </c>
      <c r="Z73" s="24">
        <v>0</v>
      </c>
      <c r="AA73" s="6">
        <v>0</v>
      </c>
      <c r="AB73" s="6">
        <v>0</v>
      </c>
      <c r="AC73" s="6">
        <v>0</v>
      </c>
      <c r="AE73" t="s">
        <v>12</v>
      </c>
      <c r="AF73" t="s">
        <v>45</v>
      </c>
      <c r="AG73" t="s">
        <v>45</v>
      </c>
      <c r="AH73" t="s">
        <v>45</v>
      </c>
      <c r="AI73" t="s">
        <v>45</v>
      </c>
      <c r="AJ73" t="s">
        <v>45</v>
      </c>
      <c r="AK73" t="s">
        <v>23</v>
      </c>
      <c r="AL73">
        <v>0</v>
      </c>
      <c r="AM73" t="s">
        <v>45</v>
      </c>
      <c r="AN73" t="s">
        <v>57</v>
      </c>
      <c r="AO73" t="s">
        <v>57</v>
      </c>
      <c r="AP73" t="s">
        <v>57</v>
      </c>
      <c r="AQ73" t="s">
        <v>57</v>
      </c>
    </row>
    <row r="74" spans="18:43" x14ac:dyDescent="0.3">
      <c r="R74" s="6" t="s">
        <v>22</v>
      </c>
      <c r="S74" s="6" t="s">
        <v>49</v>
      </c>
      <c r="T74" s="6" t="s">
        <v>57</v>
      </c>
      <c r="U74" s="6" t="s">
        <v>57</v>
      </c>
      <c r="V74" s="18" t="s">
        <v>57</v>
      </c>
      <c r="W74" s="6" t="s">
        <v>57</v>
      </c>
      <c r="X74" s="6" t="s">
        <v>57</v>
      </c>
      <c r="Y74" s="6" t="s">
        <v>57</v>
      </c>
      <c r="Z74" s="18" t="s">
        <v>45</v>
      </c>
      <c r="AA74" s="6">
        <v>0</v>
      </c>
      <c r="AB74" s="6" t="s">
        <v>49</v>
      </c>
      <c r="AC74" s="6" t="s">
        <v>45</v>
      </c>
      <c r="AE74" t="s">
        <v>14</v>
      </c>
      <c r="AF74" t="s">
        <v>49</v>
      </c>
      <c r="AG74" t="s">
        <v>49</v>
      </c>
      <c r="AH74" t="s">
        <v>45</v>
      </c>
      <c r="AI74" t="s">
        <v>49</v>
      </c>
      <c r="AJ74" t="s">
        <v>45</v>
      </c>
      <c r="AK74" t="s">
        <v>49</v>
      </c>
      <c r="AL74" t="s">
        <v>45</v>
      </c>
      <c r="AM74">
        <v>0</v>
      </c>
      <c r="AN74" t="s">
        <v>57</v>
      </c>
      <c r="AO74" t="s">
        <v>57</v>
      </c>
      <c r="AP74" t="s">
        <v>57</v>
      </c>
      <c r="AQ74" t="s">
        <v>57</v>
      </c>
    </row>
    <row r="75" spans="18:43" x14ac:dyDescent="0.3">
      <c r="R75" s="6" t="s">
        <v>22</v>
      </c>
      <c r="S75" s="6" t="s">
        <v>49</v>
      </c>
      <c r="T75" s="6" t="s">
        <v>57</v>
      </c>
      <c r="U75" s="6" t="s">
        <v>57</v>
      </c>
      <c r="V75" s="18" t="s">
        <v>57</v>
      </c>
      <c r="W75" s="6" t="s">
        <v>57</v>
      </c>
      <c r="X75" s="6" t="s">
        <v>57</v>
      </c>
      <c r="Y75" s="6" t="s">
        <v>57</v>
      </c>
      <c r="Z75" s="18" t="s">
        <v>22</v>
      </c>
      <c r="AA75" s="6" t="s">
        <v>22</v>
      </c>
      <c r="AB75" s="6">
        <v>0</v>
      </c>
      <c r="AC75" s="6" t="s">
        <v>22</v>
      </c>
      <c r="AE75" t="s">
        <v>16</v>
      </c>
      <c r="AF75" t="s">
        <v>22</v>
      </c>
      <c r="AG75" t="s">
        <v>49</v>
      </c>
      <c r="AH75" t="s">
        <v>57</v>
      </c>
      <c r="AI75" t="s">
        <v>57</v>
      </c>
      <c r="AJ75" t="s">
        <v>57</v>
      </c>
      <c r="AK75" t="s">
        <v>57</v>
      </c>
      <c r="AL75" t="s">
        <v>57</v>
      </c>
      <c r="AM75" t="s">
        <v>57</v>
      </c>
      <c r="AN75">
        <v>0</v>
      </c>
      <c r="AO75" t="s">
        <v>45</v>
      </c>
      <c r="AP75" t="s">
        <v>45</v>
      </c>
      <c r="AQ75" t="s">
        <v>45</v>
      </c>
    </row>
    <row r="76" spans="18:43" x14ac:dyDescent="0.3">
      <c r="R76" s="6" t="s">
        <v>45</v>
      </c>
      <c r="S76" s="6" t="s">
        <v>49</v>
      </c>
      <c r="T76" s="16" t="s">
        <v>57</v>
      </c>
      <c r="U76" s="6" t="s">
        <v>57</v>
      </c>
      <c r="V76" s="18" t="s">
        <v>57</v>
      </c>
      <c r="W76" s="6" t="s">
        <v>57</v>
      </c>
      <c r="X76" s="6" t="s">
        <v>57</v>
      </c>
      <c r="Y76" s="6" t="s">
        <v>57</v>
      </c>
      <c r="Z76" s="18" t="s">
        <v>45</v>
      </c>
      <c r="AA76" s="6" t="s">
        <v>23</v>
      </c>
      <c r="AB76" s="6" t="s">
        <v>49</v>
      </c>
      <c r="AC76" s="6">
        <v>0</v>
      </c>
      <c r="AE76" t="s">
        <v>17</v>
      </c>
      <c r="AF76" t="s">
        <v>23</v>
      </c>
      <c r="AG76" t="s">
        <v>49</v>
      </c>
      <c r="AH76" t="s">
        <v>57</v>
      </c>
      <c r="AI76" t="s">
        <v>57</v>
      </c>
      <c r="AJ76" t="s">
        <v>57</v>
      </c>
      <c r="AK76" t="s">
        <v>57</v>
      </c>
      <c r="AL76" t="s">
        <v>57</v>
      </c>
      <c r="AM76" t="s">
        <v>57</v>
      </c>
      <c r="AN76" t="s">
        <v>49</v>
      </c>
      <c r="AO76">
        <v>0</v>
      </c>
      <c r="AP76" t="s">
        <v>49</v>
      </c>
      <c r="AQ76" t="s">
        <v>49</v>
      </c>
    </row>
    <row r="77" spans="18:43" x14ac:dyDescent="0.3">
      <c r="AE77" t="s">
        <v>15</v>
      </c>
      <c r="AF77" t="s">
        <v>23</v>
      </c>
      <c r="AG77" t="s">
        <v>49</v>
      </c>
      <c r="AH77" t="s">
        <v>57</v>
      </c>
      <c r="AI77" t="s">
        <v>57</v>
      </c>
      <c r="AJ77" t="s">
        <v>57</v>
      </c>
      <c r="AK77" t="s">
        <v>57</v>
      </c>
      <c r="AL77" t="s">
        <v>57</v>
      </c>
      <c r="AM77" t="s">
        <v>57</v>
      </c>
      <c r="AN77" t="s">
        <v>23</v>
      </c>
      <c r="AO77" t="s">
        <v>23</v>
      </c>
      <c r="AP77">
        <v>0</v>
      </c>
      <c r="AQ77" t="s">
        <v>23</v>
      </c>
    </row>
    <row r="78" spans="18:43" x14ac:dyDescent="0.3">
      <c r="AE78" t="s">
        <v>18</v>
      </c>
      <c r="AF78" t="s">
        <v>45</v>
      </c>
      <c r="AG78" t="s">
        <v>49</v>
      </c>
      <c r="AH78" t="s">
        <v>57</v>
      </c>
      <c r="AI78" t="s">
        <v>57</v>
      </c>
      <c r="AJ78" t="s">
        <v>57</v>
      </c>
      <c r="AK78" t="s">
        <v>57</v>
      </c>
      <c r="AL78" t="s">
        <v>57</v>
      </c>
      <c r="AM78" t="s">
        <v>57</v>
      </c>
      <c r="AN78" t="s">
        <v>49</v>
      </c>
      <c r="AO78" t="s">
        <v>23</v>
      </c>
      <c r="AP78" t="s">
        <v>49</v>
      </c>
      <c r="AQ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FBC-876E-4537-8A2C-780A3F6ABF2A}">
  <dimension ref="A1:AH26"/>
  <sheetViews>
    <sheetView tabSelected="1" workbookViewId="0">
      <selection activeCell="M45" sqref="M45"/>
    </sheetView>
  </sheetViews>
  <sheetFormatPr defaultRowHeight="14.4" x14ac:dyDescent="0.3"/>
  <sheetData>
    <row r="1" spans="1:34" x14ac:dyDescent="0.3">
      <c r="A1" s="6" t="s">
        <v>100</v>
      </c>
    </row>
    <row r="2" spans="1:34" x14ac:dyDescent="0.3">
      <c r="A2" s="27" t="s">
        <v>101</v>
      </c>
      <c r="C2" s="28" t="s">
        <v>102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34" x14ac:dyDescent="0.3">
      <c r="A3" s="27" t="s">
        <v>103</v>
      </c>
      <c r="C3" s="28" t="s">
        <v>104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34" x14ac:dyDescent="0.3">
      <c r="A4" s="27" t="s">
        <v>105</v>
      </c>
      <c r="C4" s="28" t="s">
        <v>106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34" x14ac:dyDescent="0.3">
      <c r="A5" s="27" t="s">
        <v>107</v>
      </c>
      <c r="C5" s="28" t="s">
        <v>108</v>
      </c>
      <c r="D5" s="28"/>
      <c r="E5" s="28"/>
      <c r="F5" s="28"/>
      <c r="G5" s="28"/>
      <c r="H5" s="28"/>
      <c r="I5" s="28"/>
      <c r="J5" s="28"/>
    </row>
    <row r="8" spans="1:34" x14ac:dyDescent="0.3">
      <c r="A8" s="6" t="s">
        <v>109</v>
      </c>
      <c r="E8" s="6" t="s">
        <v>110</v>
      </c>
      <c r="J8" s="6" t="s">
        <v>111</v>
      </c>
      <c r="N8" s="6" t="s">
        <v>112</v>
      </c>
      <c r="S8" s="6" t="s">
        <v>113</v>
      </c>
      <c r="W8" s="6" t="s">
        <v>114</v>
      </c>
      <c r="AB8" s="6" t="s">
        <v>115</v>
      </c>
      <c r="AF8" s="6" t="s">
        <v>116</v>
      </c>
    </row>
    <row r="9" spans="1:34" x14ac:dyDescent="0.3">
      <c r="A9" t="s">
        <v>117</v>
      </c>
      <c r="C9" s="7">
        <v>0.83</v>
      </c>
      <c r="E9" t="s">
        <v>118</v>
      </c>
      <c r="G9" s="7">
        <v>0.2</v>
      </c>
      <c r="J9" t="s">
        <v>118</v>
      </c>
      <c r="L9" s="7">
        <v>0.21</v>
      </c>
      <c r="N9" t="s">
        <v>118</v>
      </c>
      <c r="P9" s="7">
        <v>0.26</v>
      </c>
      <c r="S9" t="s">
        <v>117</v>
      </c>
      <c r="U9" s="7">
        <v>0.78</v>
      </c>
      <c r="W9" t="s">
        <v>118</v>
      </c>
      <c r="Y9" s="7">
        <v>0.21</v>
      </c>
      <c r="AB9" t="s">
        <v>117</v>
      </c>
      <c r="AD9" s="7">
        <v>0.7</v>
      </c>
      <c r="AF9" t="s">
        <v>118</v>
      </c>
      <c r="AH9" s="7">
        <v>0.3</v>
      </c>
    </row>
    <row r="10" spans="1:34" x14ac:dyDescent="0.3">
      <c r="A10" t="s">
        <v>119</v>
      </c>
      <c r="C10" s="7">
        <v>0.08</v>
      </c>
      <c r="E10" t="s">
        <v>120</v>
      </c>
      <c r="G10" s="7">
        <v>0.18</v>
      </c>
      <c r="J10" t="s">
        <v>120</v>
      </c>
      <c r="L10" s="7">
        <v>0.2</v>
      </c>
      <c r="N10" t="s">
        <v>120</v>
      </c>
      <c r="P10" s="7">
        <v>0.13</v>
      </c>
      <c r="S10" t="s">
        <v>118</v>
      </c>
      <c r="U10" s="7">
        <v>0.06</v>
      </c>
      <c r="W10" t="s">
        <v>120</v>
      </c>
      <c r="Y10" s="7">
        <v>0.15</v>
      </c>
      <c r="AB10" t="s">
        <v>118</v>
      </c>
      <c r="AD10" s="7">
        <v>0.08</v>
      </c>
      <c r="AF10" t="s">
        <v>120</v>
      </c>
      <c r="AH10" s="7">
        <v>0.18</v>
      </c>
    </row>
    <row r="11" spans="1:34" x14ac:dyDescent="0.3">
      <c r="A11" t="s">
        <v>118</v>
      </c>
      <c r="C11" s="7">
        <v>0.02</v>
      </c>
      <c r="E11" t="s">
        <v>121</v>
      </c>
      <c r="G11" s="7">
        <v>0.13</v>
      </c>
      <c r="J11" t="s">
        <v>122</v>
      </c>
      <c r="L11" s="7">
        <v>0.14000000000000001</v>
      </c>
      <c r="N11" t="s">
        <v>122</v>
      </c>
      <c r="P11" s="7">
        <v>0.13</v>
      </c>
      <c r="S11" t="s">
        <v>119</v>
      </c>
      <c r="U11" s="7">
        <v>0.05</v>
      </c>
      <c r="W11" s="5" t="s">
        <v>123</v>
      </c>
      <c r="X11" s="5"/>
      <c r="Y11" s="29">
        <v>7.0000000000000007E-2</v>
      </c>
      <c r="AB11" t="s">
        <v>122</v>
      </c>
      <c r="AD11" s="7">
        <v>0.06</v>
      </c>
      <c r="AF11" t="s">
        <v>124</v>
      </c>
      <c r="AH11" s="7">
        <v>0.13</v>
      </c>
    </row>
    <row r="12" spans="1:34" x14ac:dyDescent="0.3">
      <c r="A12" t="s">
        <v>125</v>
      </c>
      <c r="C12" s="7">
        <v>0.02</v>
      </c>
      <c r="E12" t="s">
        <v>117</v>
      </c>
      <c r="G12" s="7">
        <v>0.12</v>
      </c>
      <c r="J12" t="s">
        <v>124</v>
      </c>
      <c r="L12" s="7">
        <v>0.11</v>
      </c>
      <c r="N12" t="s">
        <v>124</v>
      </c>
      <c r="P12" s="7">
        <v>0.09</v>
      </c>
      <c r="S12" t="s">
        <v>124</v>
      </c>
      <c r="U12" s="7">
        <v>0.03</v>
      </c>
      <c r="W12" t="s">
        <v>125</v>
      </c>
      <c r="Y12" s="7">
        <v>7.0000000000000007E-2</v>
      </c>
      <c r="AB12" t="s">
        <v>125</v>
      </c>
      <c r="AD12" s="7">
        <v>0.03</v>
      </c>
      <c r="AF12" t="s">
        <v>122</v>
      </c>
      <c r="AH12" s="7">
        <v>0.11</v>
      </c>
    </row>
    <row r="13" spans="1:34" x14ac:dyDescent="0.3">
      <c r="A13" t="s">
        <v>126</v>
      </c>
      <c r="C13" s="7">
        <v>0.01</v>
      </c>
      <c r="E13" t="s">
        <v>124</v>
      </c>
      <c r="G13" s="7">
        <v>0.09</v>
      </c>
      <c r="J13" t="s">
        <v>119</v>
      </c>
      <c r="L13" s="7">
        <v>0.08</v>
      </c>
      <c r="N13" s="5" t="s">
        <v>127</v>
      </c>
      <c r="O13" s="5"/>
      <c r="P13" s="29">
        <v>0.08</v>
      </c>
      <c r="S13" t="s">
        <v>120</v>
      </c>
      <c r="U13" s="7">
        <v>0.02</v>
      </c>
      <c r="W13" t="s">
        <v>119</v>
      </c>
      <c r="Y13" s="7">
        <v>7.0000000000000007E-2</v>
      </c>
      <c r="AB13" t="s">
        <v>124</v>
      </c>
      <c r="AD13" s="7">
        <v>0.03</v>
      </c>
      <c r="AF13" s="5" t="s">
        <v>128</v>
      </c>
      <c r="AG13" s="5"/>
      <c r="AH13" s="29">
        <v>0.06</v>
      </c>
    </row>
    <row r="14" spans="1:34" x14ac:dyDescent="0.3">
      <c r="A14" t="s">
        <v>120</v>
      </c>
      <c r="C14" s="7">
        <v>0.01</v>
      </c>
      <c r="E14" t="s">
        <v>119</v>
      </c>
      <c r="G14" s="7">
        <v>0.06</v>
      </c>
      <c r="J14" t="s">
        <v>129</v>
      </c>
      <c r="L14" s="7">
        <v>0.06</v>
      </c>
      <c r="N14" t="s">
        <v>130</v>
      </c>
      <c r="P14" s="7">
        <v>0.06</v>
      </c>
      <c r="S14" t="s">
        <v>125</v>
      </c>
      <c r="U14" s="7">
        <v>0.01</v>
      </c>
      <c r="W14" t="s">
        <v>117</v>
      </c>
      <c r="Y14" s="7">
        <v>0.06</v>
      </c>
      <c r="AB14" t="s">
        <v>120</v>
      </c>
      <c r="AD14" s="7">
        <v>0.02</v>
      </c>
      <c r="AF14" t="s">
        <v>119</v>
      </c>
      <c r="AH14" s="7">
        <v>0.05</v>
      </c>
    </row>
    <row r="15" spans="1:34" x14ac:dyDescent="0.3">
      <c r="A15" t="s">
        <v>131</v>
      </c>
      <c r="C15" s="7">
        <v>0.03</v>
      </c>
      <c r="E15" t="s">
        <v>132</v>
      </c>
      <c r="G15" s="7">
        <v>0.04</v>
      </c>
      <c r="J15" t="s">
        <v>131</v>
      </c>
      <c r="L15" s="7">
        <v>0.2</v>
      </c>
      <c r="N15" t="s">
        <v>131</v>
      </c>
      <c r="P15" s="7">
        <v>0.25</v>
      </c>
      <c r="S15" s="5" t="s">
        <v>123</v>
      </c>
      <c r="T15" s="5"/>
      <c r="U15" s="29">
        <v>0.01</v>
      </c>
      <c r="W15" t="s">
        <v>124</v>
      </c>
      <c r="Y15" s="7">
        <v>0.05</v>
      </c>
      <c r="AB15" t="s">
        <v>131</v>
      </c>
      <c r="AD15" s="7">
        <v>0.08</v>
      </c>
      <c r="AF15" t="s">
        <v>117</v>
      </c>
      <c r="AH15" s="7">
        <v>0.05</v>
      </c>
    </row>
    <row r="16" spans="1:34" x14ac:dyDescent="0.3">
      <c r="E16" t="s">
        <v>133</v>
      </c>
      <c r="G16" s="7">
        <v>0.18</v>
      </c>
      <c r="S16" t="s">
        <v>131</v>
      </c>
      <c r="U16" s="7">
        <v>0.04</v>
      </c>
      <c r="W16" t="s">
        <v>132</v>
      </c>
      <c r="Y16" s="7">
        <v>0.02</v>
      </c>
      <c r="AF16" t="s">
        <v>131</v>
      </c>
      <c r="AH16" s="7">
        <v>0.12</v>
      </c>
    </row>
    <row r="17" spans="1:34" x14ac:dyDescent="0.3">
      <c r="W17" t="s">
        <v>131</v>
      </c>
      <c r="Y17" s="29">
        <v>0.28999999999999998</v>
      </c>
      <c r="Z17" s="29">
        <v>0.3</v>
      </c>
      <c r="AA17" s="7"/>
      <c r="AB17" s="7"/>
      <c r="AC17" s="7"/>
      <c r="AD17" s="7"/>
    </row>
    <row r="18" spans="1:34" x14ac:dyDescent="0.3">
      <c r="A18" s="30" t="s">
        <v>101</v>
      </c>
      <c r="B18" s="4"/>
      <c r="C18" s="31">
        <f>C14</f>
        <v>0.01</v>
      </c>
      <c r="D18" s="4"/>
      <c r="E18" s="30" t="s">
        <v>101</v>
      </c>
      <c r="F18" s="4"/>
      <c r="G18" s="31">
        <f>G10</f>
        <v>0.18</v>
      </c>
      <c r="J18" s="30" t="s">
        <v>101</v>
      </c>
      <c r="K18" s="4"/>
      <c r="L18" s="31">
        <f>L10</f>
        <v>0.2</v>
      </c>
      <c r="M18" s="4"/>
      <c r="N18" s="30" t="s">
        <v>101</v>
      </c>
      <c r="O18" s="4"/>
      <c r="P18" s="31">
        <f>P10</f>
        <v>0.13</v>
      </c>
      <c r="S18" s="30" t="s">
        <v>101</v>
      </c>
      <c r="T18" s="4"/>
      <c r="U18" s="31">
        <f>U13</f>
        <v>0.02</v>
      </c>
      <c r="V18" s="4"/>
      <c r="W18" s="30" t="s">
        <v>101</v>
      </c>
      <c r="X18" s="4"/>
      <c r="Y18" s="31">
        <f>Y10</f>
        <v>0.15</v>
      </c>
      <c r="AB18" s="30" t="s">
        <v>101</v>
      </c>
      <c r="AC18" s="4"/>
      <c r="AD18" s="31">
        <f>AD14</f>
        <v>0.02</v>
      </c>
      <c r="AE18" s="4"/>
      <c r="AF18" s="30" t="s">
        <v>101</v>
      </c>
      <c r="AG18" s="4"/>
      <c r="AH18" s="31">
        <f>AH10</f>
        <v>0.18</v>
      </c>
    </row>
    <row r="19" spans="1:34" x14ac:dyDescent="0.3">
      <c r="A19" s="30" t="s">
        <v>103</v>
      </c>
      <c r="B19" s="4"/>
      <c r="C19" s="31">
        <f>C9</f>
        <v>0.83</v>
      </c>
      <c r="D19" s="4"/>
      <c r="E19" s="30" t="s">
        <v>103</v>
      </c>
      <c r="F19" s="4"/>
      <c r="G19" s="31">
        <f>G12</f>
        <v>0.12</v>
      </c>
      <c r="J19" s="30" t="s">
        <v>103</v>
      </c>
      <c r="K19" s="4"/>
      <c r="L19" s="31">
        <f>L14</f>
        <v>0.06</v>
      </c>
      <c r="M19" s="4"/>
      <c r="N19" s="30" t="s">
        <v>103</v>
      </c>
      <c r="O19" s="4"/>
      <c r="P19" s="29">
        <f>P13</f>
        <v>0.08</v>
      </c>
      <c r="S19" s="30" t="s">
        <v>103</v>
      </c>
      <c r="T19" s="4"/>
      <c r="U19" s="31">
        <f>U9</f>
        <v>0.78</v>
      </c>
      <c r="V19" s="4"/>
      <c r="W19" s="30" t="s">
        <v>103</v>
      </c>
      <c r="X19" s="4"/>
      <c r="Y19" s="31">
        <f>Y14</f>
        <v>0.06</v>
      </c>
      <c r="AB19" s="30" t="s">
        <v>103</v>
      </c>
      <c r="AC19" s="4"/>
      <c r="AD19" s="31">
        <f>AD9</f>
        <v>0.7</v>
      </c>
      <c r="AE19" s="4"/>
      <c r="AF19" s="30" t="s">
        <v>103</v>
      </c>
      <c r="AG19" s="4"/>
      <c r="AH19" s="31">
        <f>AH15</f>
        <v>0.05</v>
      </c>
    </row>
    <row r="20" spans="1:34" x14ac:dyDescent="0.3">
      <c r="A20" s="30" t="s">
        <v>105</v>
      </c>
      <c r="B20" s="4"/>
      <c r="C20" s="31">
        <f>C11+C10</f>
        <v>0.1</v>
      </c>
      <c r="D20" s="4"/>
      <c r="E20" s="30" t="s">
        <v>105</v>
      </c>
      <c r="F20" s="4"/>
      <c r="G20" s="31">
        <f>G9+G13+G14</f>
        <v>0.35000000000000003</v>
      </c>
      <c r="J20" s="30" t="s">
        <v>105</v>
      </c>
      <c r="K20" s="4"/>
      <c r="L20" s="31">
        <f>L9+L12+L13</f>
        <v>0.4</v>
      </c>
      <c r="M20" s="4"/>
      <c r="N20" s="30" t="s">
        <v>105</v>
      </c>
      <c r="O20" s="4"/>
      <c r="P20" s="31">
        <f>P9+P12</f>
        <v>0.35</v>
      </c>
      <c r="S20" s="30" t="s">
        <v>105</v>
      </c>
      <c r="T20" s="4"/>
      <c r="U20" s="29">
        <f>U10+U11+U12+U15</f>
        <v>0.15000000000000002</v>
      </c>
      <c r="V20" s="4"/>
      <c r="W20" s="30" t="s">
        <v>105</v>
      </c>
      <c r="X20" s="4"/>
      <c r="Y20" s="29">
        <f>Y9+Y11+Y13+Y15</f>
        <v>0.4</v>
      </c>
      <c r="AB20" s="30" t="s">
        <v>105</v>
      </c>
      <c r="AC20" s="4"/>
      <c r="AD20" s="31">
        <f>AD10+AD13</f>
        <v>0.11</v>
      </c>
      <c r="AE20" s="4"/>
      <c r="AF20" s="30" t="s">
        <v>105</v>
      </c>
      <c r="AG20" s="4"/>
      <c r="AH20" s="29">
        <f>AH9+AH11+AH13+AH14</f>
        <v>0.54</v>
      </c>
    </row>
    <row r="21" spans="1:34" x14ac:dyDescent="0.3">
      <c r="A21" s="30" t="s">
        <v>107</v>
      </c>
      <c r="B21" s="4"/>
      <c r="C21" s="31">
        <f>C15+C13+C12</f>
        <v>0.06</v>
      </c>
      <c r="D21" s="4"/>
      <c r="E21" s="30" t="s">
        <v>107</v>
      </c>
      <c r="F21" s="4"/>
      <c r="G21" s="31">
        <f>G16+G15+G11</f>
        <v>0.35</v>
      </c>
      <c r="J21" s="30" t="s">
        <v>107</v>
      </c>
      <c r="K21" s="4"/>
      <c r="L21" s="31">
        <f>L11+L15</f>
        <v>0.34</v>
      </c>
      <c r="M21" s="4"/>
      <c r="N21" s="30" t="s">
        <v>107</v>
      </c>
      <c r="O21" s="4"/>
      <c r="P21" s="31">
        <f>P11+P15+P14</f>
        <v>0.44</v>
      </c>
      <c r="S21" s="30" t="s">
        <v>107</v>
      </c>
      <c r="T21" s="4"/>
      <c r="U21" s="31">
        <f>U16+U14</f>
        <v>0.05</v>
      </c>
      <c r="V21" s="4"/>
      <c r="W21" s="30" t="s">
        <v>107</v>
      </c>
      <c r="X21" s="4"/>
      <c r="Y21" s="29">
        <f>Z17+Y16+Y12</f>
        <v>0.39</v>
      </c>
      <c r="AB21" s="30" t="s">
        <v>107</v>
      </c>
      <c r="AC21" s="4"/>
      <c r="AD21" s="31">
        <f>AD15+AD11+AD12</f>
        <v>0.17</v>
      </c>
      <c r="AE21" s="4"/>
      <c r="AF21" s="30" t="s">
        <v>107</v>
      </c>
      <c r="AG21" s="4"/>
      <c r="AH21" s="31">
        <f>AH12+AH16</f>
        <v>0.22999999999999998</v>
      </c>
    </row>
    <row r="23" spans="1:34" x14ac:dyDescent="0.3">
      <c r="A23" s="32" t="s">
        <v>101</v>
      </c>
      <c r="B23" s="33"/>
      <c r="C23" s="33">
        <v>1.7000000000000001E-2</v>
      </c>
      <c r="D23" s="33"/>
      <c r="E23" s="32" t="s">
        <v>101</v>
      </c>
      <c r="F23" s="33"/>
      <c r="G23" s="33">
        <v>0.13600000000000001</v>
      </c>
      <c r="J23" s="32" t="s">
        <v>101</v>
      </c>
      <c r="K23" s="33"/>
      <c r="L23" s="33">
        <v>0.2</v>
      </c>
      <c r="M23" s="33"/>
      <c r="N23" s="32" t="s">
        <v>101</v>
      </c>
      <c r="O23" s="33"/>
      <c r="P23" s="33">
        <v>0.13</v>
      </c>
      <c r="S23" s="32" t="s">
        <v>101</v>
      </c>
      <c r="T23" s="33"/>
      <c r="U23" s="33">
        <v>3.5000000000000003E-2</v>
      </c>
      <c r="V23" s="33"/>
      <c r="W23" s="32" t="s">
        <v>101</v>
      </c>
      <c r="X23" s="33"/>
      <c r="Y23" s="33">
        <v>0.13600000000000001</v>
      </c>
      <c r="AB23" s="32" t="s">
        <v>101</v>
      </c>
      <c r="AC23" s="33"/>
      <c r="AD23" s="33">
        <v>2.5999999999999999E-2</v>
      </c>
      <c r="AE23" s="33"/>
      <c r="AF23" s="32" t="s">
        <v>101</v>
      </c>
      <c r="AG23" s="33"/>
      <c r="AH23" s="33">
        <v>0.16800000000000001</v>
      </c>
    </row>
    <row r="24" spans="1:34" x14ac:dyDescent="0.3">
      <c r="A24" s="32" t="s">
        <v>103</v>
      </c>
      <c r="B24" s="33"/>
      <c r="C24" s="33">
        <v>0.89400000000000002</v>
      </c>
      <c r="D24" s="33"/>
      <c r="E24" s="32" t="s">
        <v>103</v>
      </c>
      <c r="F24" s="33"/>
      <c r="G24" s="33">
        <v>0.40899999999999997</v>
      </c>
      <c r="J24" s="32" t="s">
        <v>103</v>
      </c>
      <c r="K24" s="33"/>
      <c r="L24" s="33">
        <v>0.05</v>
      </c>
      <c r="M24" s="33"/>
      <c r="N24" s="32" t="s">
        <v>103</v>
      </c>
      <c r="O24" s="33"/>
      <c r="P24" s="33">
        <v>0.08</v>
      </c>
      <c r="S24" s="32" t="s">
        <v>103</v>
      </c>
      <c r="T24" s="33"/>
      <c r="U24" s="33">
        <v>0.79400000000000004</v>
      </c>
      <c r="V24" s="33"/>
      <c r="W24" s="32" t="s">
        <v>103</v>
      </c>
      <c r="X24" s="33"/>
      <c r="Y24" s="33">
        <v>0.223</v>
      </c>
      <c r="AB24" s="32" t="s">
        <v>103</v>
      </c>
      <c r="AC24" s="33"/>
      <c r="AD24" s="33">
        <v>0.71</v>
      </c>
      <c r="AE24" s="33"/>
      <c r="AF24" s="32" t="s">
        <v>103</v>
      </c>
      <c r="AG24" s="33"/>
      <c r="AH24" s="33">
        <v>9.5000000000000001E-2</v>
      </c>
    </row>
    <row r="25" spans="1:34" x14ac:dyDescent="0.3">
      <c r="A25" s="32" t="s">
        <v>105</v>
      </c>
      <c r="B25" s="33"/>
      <c r="C25" s="33">
        <v>4.2000000000000003E-2</v>
      </c>
      <c r="D25" s="33"/>
      <c r="E25" s="32" t="s">
        <v>105</v>
      </c>
      <c r="F25" s="33"/>
      <c r="G25" s="33">
        <v>0.21199999999999999</v>
      </c>
      <c r="J25" s="32" t="s">
        <v>105</v>
      </c>
      <c r="K25" s="33"/>
      <c r="L25" s="33">
        <v>0.49</v>
      </c>
      <c r="M25" s="33"/>
      <c r="N25" s="32" t="s">
        <v>105</v>
      </c>
      <c r="O25" s="33"/>
      <c r="P25" s="33">
        <v>0.42</v>
      </c>
      <c r="S25" s="32" t="s">
        <v>105</v>
      </c>
      <c r="T25" s="33"/>
      <c r="U25" s="33">
        <v>6.8000000000000005E-2</v>
      </c>
      <c r="V25" s="33"/>
      <c r="W25" s="32" t="s">
        <v>105</v>
      </c>
      <c r="X25" s="33"/>
      <c r="Y25" s="33">
        <v>0.22</v>
      </c>
      <c r="AB25" s="32" t="s">
        <v>105</v>
      </c>
      <c r="AC25" s="33"/>
      <c r="AD25" s="33">
        <v>6.8000000000000005E-2</v>
      </c>
      <c r="AE25" s="33"/>
      <c r="AF25" s="32" t="s">
        <v>105</v>
      </c>
      <c r="AG25" s="33"/>
      <c r="AH25" s="33">
        <v>0.52</v>
      </c>
    </row>
    <row r="26" spans="1:34" x14ac:dyDescent="0.3">
      <c r="A26" s="32" t="s">
        <v>107</v>
      </c>
      <c r="B26" s="33"/>
      <c r="C26" s="33">
        <v>4.7E-2</v>
      </c>
      <c r="D26" s="33"/>
      <c r="E26" s="32" t="s">
        <v>107</v>
      </c>
      <c r="F26" s="33"/>
      <c r="G26" s="33">
        <v>0.24299999999999999</v>
      </c>
      <c r="J26" s="32" t="s">
        <v>107</v>
      </c>
      <c r="K26" s="33"/>
      <c r="L26" s="33">
        <v>0.26</v>
      </c>
      <c r="M26" s="33"/>
      <c r="N26" s="32" t="s">
        <v>107</v>
      </c>
      <c r="O26" s="33"/>
      <c r="P26" s="33">
        <v>0.37</v>
      </c>
      <c r="S26" s="32" t="s">
        <v>107</v>
      </c>
      <c r="T26" s="33"/>
      <c r="U26" s="33">
        <v>9.8000000000000004E-2</v>
      </c>
      <c r="V26" s="33"/>
      <c r="W26" s="32" t="s">
        <v>107</v>
      </c>
      <c r="X26" s="33"/>
      <c r="Y26" s="33">
        <v>0.41599999999999998</v>
      </c>
      <c r="AB26" s="32" t="s">
        <v>107</v>
      </c>
      <c r="AC26" s="33"/>
      <c r="AD26" s="33">
        <v>0.19600000000000001</v>
      </c>
      <c r="AE26" s="33"/>
      <c r="AF26" s="32" t="s">
        <v>107</v>
      </c>
      <c r="AG26" s="33"/>
      <c r="AH26" s="33">
        <v>0.217</v>
      </c>
    </row>
  </sheetData>
  <mergeCells count="4">
    <mergeCell ref="C2:U2"/>
    <mergeCell ref="C3:R3"/>
    <mergeCell ref="C4:Q4"/>
    <mergeCell ref="C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demand_info</vt:lpstr>
      <vt:lpstr>commodity_info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</dc:creator>
  <cp:lastModifiedBy>Luuk Barbian</cp:lastModifiedBy>
  <dcterms:created xsi:type="dcterms:W3CDTF">2015-06-05T18:19:34Z</dcterms:created>
  <dcterms:modified xsi:type="dcterms:W3CDTF">2024-08-05T12:31:53Z</dcterms:modified>
</cp:coreProperties>
</file>