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e8ede75418a1548/Documenten/Thesis/PythonThesis/"/>
    </mc:Choice>
  </mc:AlternateContent>
  <xr:revisionPtr revIDLastSave="2594" documentId="11_AD4D7A0C205A6B9A452FA8CA37596C885BDEDD78" xr6:coauthVersionLast="47" xr6:coauthVersionMax="47" xr10:uidLastSave="{B349BCC9-9C69-458D-A2B4-F7E93C84F0CF}"/>
  <bookViews>
    <workbookView xWindow="19090" yWindow="-11790" windowWidth="38620" windowHeight="21100" firstSheet="7" activeTab="11" xr2:uid="{00000000-000D-0000-FFFF-FFFF00000000}"/>
  </bookViews>
  <sheets>
    <sheet name="schedule" sheetId="1" r:id="rId1"/>
    <sheet name="schedule_small" sheetId="12" r:id="rId2"/>
    <sheet name="airports" sheetId="2" r:id="rId3"/>
    <sheet name="airports_small" sheetId="17" r:id="rId4"/>
    <sheet name="demand" sheetId="7" r:id="rId5"/>
    <sheet name="demand_small" sheetId="16" r:id="rId6"/>
    <sheet name="commodity" sheetId="13" r:id="rId7"/>
    <sheet name="AF" sheetId="8" r:id="rId8"/>
    <sheet name="AF_small" sheetId="15" r:id="rId9"/>
    <sheet name="SA" sheetId="9" r:id="rId10"/>
    <sheet name="SA_small" sheetId="14" r:id="rId11"/>
    <sheet name="demand_info" sheetId="3" r:id="rId12"/>
    <sheet name="commodity_info" sheetId="6" r:id="rId13"/>
    <sheet name="regional_info" sheetId="10" r:id="rId14"/>
    <sheet name="ODmatrix_test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8" l="1"/>
  <c r="C46" i="18"/>
  <c r="D46" i="18"/>
  <c r="E46" i="18"/>
  <c r="F46" i="18"/>
  <c r="G46" i="18"/>
  <c r="H46" i="18"/>
  <c r="I46" i="18"/>
  <c r="J46" i="18"/>
  <c r="K46" i="18"/>
  <c r="L46" i="18"/>
  <c r="M46" i="18"/>
  <c r="B47" i="18"/>
  <c r="B48" i="18"/>
  <c r="B49" i="18"/>
  <c r="B50" i="18"/>
  <c r="B51" i="18"/>
  <c r="B52" i="18"/>
  <c r="B53" i="18"/>
  <c r="B54" i="18"/>
  <c r="B55" i="18"/>
  <c r="B56" i="18"/>
  <c r="B57" i="18"/>
  <c r="C48" i="18"/>
  <c r="C49" i="18"/>
  <c r="C50" i="18"/>
  <c r="C51" i="18"/>
  <c r="C52" i="18"/>
  <c r="C53" i="18"/>
  <c r="C54" i="18"/>
  <c r="C55" i="18"/>
  <c r="C56" i="18"/>
  <c r="C57" i="18"/>
  <c r="D48" i="18"/>
  <c r="D49" i="18"/>
  <c r="D50" i="18"/>
  <c r="D51" i="18"/>
  <c r="D52" i="18"/>
  <c r="D53" i="18"/>
  <c r="D54" i="18"/>
  <c r="D55" i="18"/>
  <c r="D56" i="18"/>
  <c r="D57" i="18"/>
  <c r="E48" i="18"/>
  <c r="E49" i="18"/>
  <c r="E50" i="18"/>
  <c r="E51" i="18"/>
  <c r="E52" i="18"/>
  <c r="E53" i="18"/>
  <c r="E54" i="18"/>
  <c r="E55" i="18"/>
  <c r="E56" i="18"/>
  <c r="E57" i="18"/>
  <c r="F48" i="18"/>
  <c r="F49" i="18"/>
  <c r="F50" i="18"/>
  <c r="F51" i="18"/>
  <c r="F52" i="18"/>
  <c r="F53" i="18"/>
  <c r="F54" i="18"/>
  <c r="F55" i="18"/>
  <c r="F56" i="18"/>
  <c r="F57" i="18"/>
  <c r="H48" i="18"/>
  <c r="H49" i="18"/>
  <c r="H50" i="18"/>
  <c r="H51" i="18"/>
  <c r="H52" i="18"/>
  <c r="H53" i="18"/>
  <c r="H54" i="18"/>
  <c r="H55" i="18"/>
  <c r="H56" i="18"/>
  <c r="H57" i="18"/>
  <c r="G48" i="18"/>
  <c r="G49" i="18"/>
  <c r="G50" i="18"/>
  <c r="G51" i="18"/>
  <c r="G52" i="18"/>
  <c r="G53" i="18"/>
  <c r="G54" i="18"/>
  <c r="G55" i="18"/>
  <c r="G56" i="18"/>
  <c r="G57" i="18"/>
  <c r="M47" i="18"/>
  <c r="M48" i="18"/>
  <c r="M49" i="18"/>
  <c r="M50" i="18"/>
  <c r="M51" i="18"/>
  <c r="M52" i="18"/>
  <c r="M53" i="18"/>
  <c r="M54" i="18"/>
  <c r="M55" i="18"/>
  <c r="M56" i="18"/>
  <c r="M57" i="18"/>
  <c r="L47" i="18"/>
  <c r="L48" i="18"/>
  <c r="L49" i="18"/>
  <c r="L50" i="18"/>
  <c r="L51" i="18"/>
  <c r="L52" i="18"/>
  <c r="L53" i="18"/>
  <c r="L54" i="18"/>
  <c r="L55" i="18"/>
  <c r="L56" i="18"/>
  <c r="L57" i="18"/>
  <c r="K47" i="18"/>
  <c r="K48" i="18"/>
  <c r="K49" i="18"/>
  <c r="K50" i="18"/>
  <c r="K51" i="18"/>
  <c r="K52" i="18"/>
  <c r="K53" i="18"/>
  <c r="K54" i="18"/>
  <c r="K55" i="18"/>
  <c r="K56" i="18"/>
  <c r="K57" i="18"/>
  <c r="J47" i="18"/>
  <c r="J48" i="18"/>
  <c r="J49" i="18"/>
  <c r="J50" i="18"/>
  <c r="J51" i="18"/>
  <c r="J52" i="18"/>
  <c r="J53" i="18"/>
  <c r="J54" i="18"/>
  <c r="J55" i="18"/>
  <c r="J56" i="18"/>
  <c r="J57" i="18"/>
  <c r="I47" i="18"/>
  <c r="I48" i="18"/>
  <c r="I49" i="18"/>
  <c r="I50" i="18"/>
  <c r="I51" i="18"/>
  <c r="I52" i="18"/>
  <c r="I53" i="18"/>
  <c r="I54" i="18"/>
  <c r="I55" i="18"/>
  <c r="I56" i="18"/>
  <c r="H47" i="18"/>
  <c r="G47" i="18"/>
  <c r="F47" i="18"/>
  <c r="E47" i="18"/>
  <c r="D47" i="18"/>
  <c r="C47" i="18"/>
  <c r="I57" i="18"/>
  <c r="C44" i="18"/>
  <c r="D44" i="18"/>
  <c r="E44" i="18"/>
  <c r="F44" i="18"/>
  <c r="G44" i="18"/>
  <c r="H44" i="18"/>
  <c r="I44" i="18"/>
  <c r="J44" i="18"/>
  <c r="K44" i="18"/>
  <c r="L44" i="18"/>
  <c r="M44" i="18"/>
  <c r="B44" i="18"/>
  <c r="D16" i="18"/>
  <c r="E16" i="18"/>
  <c r="F16" i="18"/>
  <c r="G16" i="18"/>
  <c r="H16" i="18"/>
  <c r="I18" i="18"/>
  <c r="I19" i="18"/>
  <c r="I20" i="18"/>
  <c r="I21" i="18"/>
  <c r="I22" i="18"/>
  <c r="I23" i="18"/>
  <c r="I24" i="18"/>
  <c r="I25" i="18"/>
  <c r="I26" i="18"/>
  <c r="I27" i="18"/>
  <c r="I16" i="18"/>
  <c r="M16" i="18"/>
  <c r="L16" i="18"/>
  <c r="K16" i="18"/>
  <c r="J16" i="18"/>
  <c r="J18" i="18"/>
  <c r="J19" i="18"/>
  <c r="J20" i="18"/>
  <c r="J21" i="18"/>
  <c r="J22" i="18"/>
  <c r="J23" i="18"/>
  <c r="J24" i="18"/>
  <c r="J25" i="18"/>
  <c r="J26" i="18"/>
  <c r="J27" i="18"/>
  <c r="M18" i="18"/>
  <c r="M19" i="18"/>
  <c r="M20" i="18"/>
  <c r="M21" i="18"/>
  <c r="M22" i="18"/>
  <c r="M23" i="18"/>
  <c r="M24" i="18"/>
  <c r="M25" i="18"/>
  <c r="M26" i="18"/>
  <c r="M27" i="18"/>
  <c r="L18" i="18"/>
  <c r="L19" i="18"/>
  <c r="L20" i="18"/>
  <c r="L21" i="18"/>
  <c r="L22" i="18"/>
  <c r="L23" i="18"/>
  <c r="L24" i="18"/>
  <c r="L25" i="18"/>
  <c r="L26" i="18"/>
  <c r="L27" i="18"/>
  <c r="K18" i="18"/>
  <c r="K19" i="18"/>
  <c r="K20" i="18"/>
  <c r="K21" i="18"/>
  <c r="K22" i="18"/>
  <c r="K23" i="18"/>
  <c r="K24" i="18"/>
  <c r="K25" i="18"/>
  <c r="K26" i="18"/>
  <c r="K27" i="18"/>
  <c r="M17" i="18"/>
  <c r="L17" i="18"/>
  <c r="K17" i="18"/>
  <c r="J17" i="18"/>
  <c r="H18" i="18"/>
  <c r="H19" i="18"/>
  <c r="H20" i="18"/>
  <c r="H21" i="18"/>
  <c r="H22" i="18"/>
  <c r="H23" i="18"/>
  <c r="H24" i="18"/>
  <c r="H25" i="18"/>
  <c r="H26" i="18"/>
  <c r="H27" i="18"/>
  <c r="G18" i="18"/>
  <c r="G19" i="18"/>
  <c r="G20" i="18"/>
  <c r="G21" i="18"/>
  <c r="G22" i="18"/>
  <c r="G23" i="18"/>
  <c r="G24" i="18"/>
  <c r="G25" i="18"/>
  <c r="G26" i="18"/>
  <c r="G27" i="18"/>
  <c r="F20" i="18"/>
  <c r="F22" i="18"/>
  <c r="E18" i="18"/>
  <c r="E19" i="18"/>
  <c r="E20" i="18"/>
  <c r="E21" i="18"/>
  <c r="E22" i="18"/>
  <c r="E23" i="18"/>
  <c r="E24" i="18"/>
  <c r="E25" i="18"/>
  <c r="E26" i="18"/>
  <c r="E27" i="18"/>
  <c r="D18" i="18"/>
  <c r="D19" i="18"/>
  <c r="D20" i="18"/>
  <c r="D21" i="18"/>
  <c r="D22" i="18"/>
  <c r="D23" i="18"/>
  <c r="D24" i="18"/>
  <c r="D25" i="18"/>
  <c r="D26" i="18"/>
  <c r="D27" i="18"/>
  <c r="H17" i="18"/>
  <c r="G17" i="18"/>
  <c r="E17" i="18"/>
  <c r="D17" i="18"/>
  <c r="I17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C14" i="18"/>
  <c r="C16" i="18" s="1"/>
  <c r="D14" i="18"/>
  <c r="E14" i="18"/>
  <c r="F14" i="18"/>
  <c r="F18" i="18" s="1"/>
  <c r="G14" i="18"/>
  <c r="H14" i="18"/>
  <c r="I14" i="18"/>
  <c r="J14" i="18"/>
  <c r="K14" i="18"/>
  <c r="L14" i="18"/>
  <c r="M14" i="18"/>
  <c r="B14" i="18"/>
  <c r="K34" i="10"/>
  <c r="L67" i="10"/>
  <c r="M67" i="10"/>
  <c r="N67" i="10"/>
  <c r="K67" i="10"/>
  <c r="N65" i="10"/>
  <c r="M65" i="10"/>
  <c r="L65" i="10"/>
  <c r="K65" i="10"/>
  <c r="N60" i="10"/>
  <c r="M60" i="10"/>
  <c r="L60" i="10"/>
  <c r="K60" i="10"/>
  <c r="F55" i="10"/>
  <c r="L55" i="10" s="1"/>
  <c r="F51" i="10"/>
  <c r="L51" i="10" s="1"/>
  <c r="F52" i="10"/>
  <c r="F53" i="10"/>
  <c r="L53" i="10" s="1"/>
  <c r="F54" i="10"/>
  <c r="F45" i="10"/>
  <c r="F44" i="10"/>
  <c r="F43" i="10"/>
  <c r="E42" i="10"/>
  <c r="K42" i="10" s="1"/>
  <c r="E44" i="10"/>
  <c r="E45" i="10"/>
  <c r="E43" i="10"/>
  <c r="K43" i="10" s="1"/>
  <c r="E51" i="10"/>
  <c r="K51" i="10" s="1"/>
  <c r="E52" i="10"/>
  <c r="E53" i="10"/>
  <c r="K53" i="10" s="1"/>
  <c r="E54" i="10"/>
  <c r="M56" i="10"/>
  <c r="N56" i="10"/>
  <c r="N52" i="10"/>
  <c r="N53" i="10"/>
  <c r="N54" i="10"/>
  <c r="N55" i="10"/>
  <c r="N51" i="10"/>
  <c r="M52" i="10"/>
  <c r="M53" i="10"/>
  <c r="M54" i="10"/>
  <c r="M55" i="10"/>
  <c r="M51" i="10"/>
  <c r="L52" i="10"/>
  <c r="L54" i="10"/>
  <c r="K52" i="10"/>
  <c r="K54" i="10"/>
  <c r="K55" i="10"/>
  <c r="L46" i="10"/>
  <c r="M46" i="10"/>
  <c r="N46" i="10"/>
  <c r="N44" i="10"/>
  <c r="N45" i="10"/>
  <c r="N43" i="10"/>
  <c r="K44" i="10"/>
  <c r="K45" i="10"/>
  <c r="D56" i="10"/>
  <c r="C56" i="10"/>
  <c r="G55" i="10"/>
  <c r="E55" i="10"/>
  <c r="G54" i="10"/>
  <c r="G53" i="10"/>
  <c r="G51" i="10"/>
  <c r="D46" i="10"/>
  <c r="C46" i="10"/>
  <c r="K27" i="10"/>
  <c r="D7" i="15"/>
  <c r="F6" i="15" s="1"/>
  <c r="C7" i="15"/>
  <c r="E3" i="15" s="1"/>
  <c r="I4" i="8"/>
  <c r="D8" i="14"/>
  <c r="F7" i="14" s="1"/>
  <c r="C8" i="14"/>
  <c r="E4" i="14" s="1"/>
  <c r="G7" i="14"/>
  <c r="G6" i="14"/>
  <c r="G5" i="14"/>
  <c r="F5" i="14"/>
  <c r="E5" i="14"/>
  <c r="G3" i="14"/>
  <c r="F6" i="9"/>
  <c r="G7" i="9"/>
  <c r="G6" i="9"/>
  <c r="G5" i="9"/>
  <c r="G3" i="9"/>
  <c r="M14" i="10"/>
  <c r="G15" i="10"/>
  <c r="M15" i="10" s="1"/>
  <c r="G16" i="10"/>
  <c r="M16" i="10" s="1"/>
  <c r="G17" i="10"/>
  <c r="M17" i="10" s="1"/>
  <c r="G13" i="10"/>
  <c r="M13" i="10" s="1"/>
  <c r="H4" i="8"/>
  <c r="H5" i="8"/>
  <c r="H6" i="8"/>
  <c r="Z3" i="13"/>
  <c r="Z4" i="13"/>
  <c r="Z5" i="13"/>
  <c r="Z2" i="13"/>
  <c r="Y3" i="13"/>
  <c r="Y4" i="13"/>
  <c r="Y5" i="13"/>
  <c r="Y2" i="13"/>
  <c r="Y6" i="13" s="1"/>
  <c r="W3" i="13"/>
  <c r="W4" i="13"/>
  <c r="W5" i="13"/>
  <c r="W2" i="13"/>
  <c r="U3" i="13"/>
  <c r="U4" i="13"/>
  <c r="U5" i="13"/>
  <c r="U2" i="13"/>
  <c r="U6" i="13" s="1"/>
  <c r="T3" i="13"/>
  <c r="T6" i="13" s="1"/>
  <c r="T4" i="13"/>
  <c r="T5" i="13"/>
  <c r="T2" i="13"/>
  <c r="S3" i="13"/>
  <c r="S4" i="13"/>
  <c r="S5" i="13"/>
  <c r="S2" i="13"/>
  <c r="R3" i="13"/>
  <c r="R4" i="13"/>
  <c r="R5" i="13"/>
  <c r="R2" i="13"/>
  <c r="Q3" i="13"/>
  <c r="Q4" i="13"/>
  <c r="Q5" i="13"/>
  <c r="Q2" i="13"/>
  <c r="Q6" i="13" s="1"/>
  <c r="P3" i="13"/>
  <c r="P4" i="13"/>
  <c r="P5" i="13"/>
  <c r="P2" i="13"/>
  <c r="O3" i="13"/>
  <c r="O4" i="13"/>
  <c r="O5" i="13"/>
  <c r="O2" i="13"/>
  <c r="N3" i="13"/>
  <c r="N4" i="13"/>
  <c r="N5" i="13"/>
  <c r="N2" i="13"/>
  <c r="C6" i="13"/>
  <c r="D6" i="13"/>
  <c r="E6" i="13"/>
  <c r="F6" i="13"/>
  <c r="G6" i="13"/>
  <c r="H6" i="13"/>
  <c r="I6" i="13"/>
  <c r="J6" i="13"/>
  <c r="K6" i="13"/>
  <c r="L6" i="13"/>
  <c r="M6" i="13"/>
  <c r="V6" i="13"/>
  <c r="X6" i="13"/>
  <c r="Z6" i="13"/>
  <c r="B6" i="13"/>
  <c r="M2" i="13"/>
  <c r="M3" i="13"/>
  <c r="M4" i="13"/>
  <c r="M5" i="13"/>
  <c r="L3" i="13"/>
  <c r="L4" i="13"/>
  <c r="L5" i="13"/>
  <c r="L2" i="13"/>
  <c r="K3" i="13"/>
  <c r="K4" i="13"/>
  <c r="K5" i="13"/>
  <c r="K2" i="13"/>
  <c r="J3" i="13"/>
  <c r="J4" i="13"/>
  <c r="J5" i="13"/>
  <c r="J2" i="13"/>
  <c r="C18" i="6"/>
  <c r="C19" i="6"/>
  <c r="C20" i="6"/>
  <c r="C21" i="6"/>
  <c r="I7" i="9"/>
  <c r="I6" i="9"/>
  <c r="I5" i="9"/>
  <c r="I3" i="9"/>
  <c r="L16" i="3"/>
  <c r="J16" i="3"/>
  <c r="O16" i="3" s="1"/>
  <c r="O15" i="3"/>
  <c r="O14" i="3"/>
  <c r="N14" i="3"/>
  <c r="K14" i="3"/>
  <c r="L13" i="3"/>
  <c r="J13" i="3"/>
  <c r="O13" i="3" s="1"/>
  <c r="O12" i="3"/>
  <c r="N12" i="3"/>
  <c r="K12" i="3"/>
  <c r="I13" i="10"/>
  <c r="O13" i="10" s="1"/>
  <c r="I15" i="10"/>
  <c r="O15" i="10" s="1"/>
  <c r="I17" i="10"/>
  <c r="O17" i="10" s="1"/>
  <c r="I16" i="10"/>
  <c r="O16" i="10" s="1"/>
  <c r="N32" i="10"/>
  <c r="M32" i="10"/>
  <c r="L32" i="10"/>
  <c r="K32" i="10"/>
  <c r="O27" i="10"/>
  <c r="N27" i="10"/>
  <c r="M27" i="10"/>
  <c r="O22" i="10"/>
  <c r="N22" i="10"/>
  <c r="M22" i="10"/>
  <c r="L22" i="10"/>
  <c r="L14" i="10"/>
  <c r="O14" i="10"/>
  <c r="N14" i="10"/>
  <c r="K14" i="10"/>
  <c r="O4" i="10"/>
  <c r="N4" i="10"/>
  <c r="M4" i="10"/>
  <c r="L4" i="10"/>
  <c r="H7" i="10"/>
  <c r="N7" i="10" s="1"/>
  <c r="H6" i="10"/>
  <c r="N6" i="10" s="1"/>
  <c r="H5" i="10"/>
  <c r="N5" i="10" s="1"/>
  <c r="I6" i="10"/>
  <c r="O6" i="10" s="1"/>
  <c r="D18" i="10"/>
  <c r="F14" i="10" s="1"/>
  <c r="C18" i="10"/>
  <c r="E14" i="10" s="1"/>
  <c r="H17" i="10"/>
  <c r="N17" i="10" s="1"/>
  <c r="H16" i="10"/>
  <c r="N16" i="10" s="1"/>
  <c r="H15" i="10"/>
  <c r="N15" i="10" s="1"/>
  <c r="H13" i="10"/>
  <c r="N13" i="10" s="1"/>
  <c r="D8" i="10"/>
  <c r="H45" i="10" s="1"/>
  <c r="C8" i="10"/>
  <c r="E7" i="10" s="1"/>
  <c r="K7" i="10" s="1"/>
  <c r="I7" i="10"/>
  <c r="O7" i="10" s="1"/>
  <c r="C19" i="18" l="1"/>
  <c r="C18" i="18"/>
  <c r="C17" i="18"/>
  <c r="C27" i="18"/>
  <c r="C23" i="18"/>
  <c r="C21" i="18"/>
  <c r="C20" i="18"/>
  <c r="C26" i="18"/>
  <c r="C25" i="18"/>
  <c r="C24" i="18"/>
  <c r="C22" i="18"/>
  <c r="F27" i="18"/>
  <c r="F17" i="18"/>
  <c r="F26" i="18"/>
  <c r="F25" i="18"/>
  <c r="F24" i="18"/>
  <c r="F23" i="18"/>
  <c r="F21" i="18"/>
  <c r="F19" i="18"/>
  <c r="L56" i="10"/>
  <c r="K46" i="10"/>
  <c r="K56" i="10"/>
  <c r="N18" i="10"/>
  <c r="H43" i="10"/>
  <c r="G6" i="10"/>
  <c r="M6" i="10" s="1"/>
  <c r="H44" i="10"/>
  <c r="E4" i="15"/>
  <c r="F4" i="15"/>
  <c r="H6" i="15"/>
  <c r="E5" i="15"/>
  <c r="H5" i="15"/>
  <c r="E6" i="15"/>
  <c r="H4" i="15"/>
  <c r="F5" i="15"/>
  <c r="E6" i="14"/>
  <c r="F6" i="14"/>
  <c r="F3" i="14"/>
  <c r="E7" i="14"/>
  <c r="E3" i="14"/>
  <c r="M18" i="10"/>
  <c r="W6" i="13"/>
  <c r="S6" i="13"/>
  <c r="R6" i="13"/>
  <c r="P6" i="13"/>
  <c r="O6" i="13"/>
  <c r="N6" i="13"/>
  <c r="N8" i="10"/>
  <c r="N34" i="10" s="1"/>
  <c r="O18" i="10"/>
  <c r="G7" i="10"/>
  <c r="M7" i="10" s="1"/>
  <c r="E17" i="10"/>
  <c r="K17" i="10" s="1"/>
  <c r="E16" i="10"/>
  <c r="K16" i="10" s="1"/>
  <c r="E13" i="10"/>
  <c r="K13" i="10" s="1"/>
  <c r="E15" i="10"/>
  <c r="K15" i="10" s="1"/>
  <c r="E4" i="10"/>
  <c r="K4" i="10" s="1"/>
  <c r="F13" i="10"/>
  <c r="L13" i="10" s="1"/>
  <c r="E5" i="10"/>
  <c r="K5" i="10" s="1"/>
  <c r="F17" i="10"/>
  <c r="L17" i="10" s="1"/>
  <c r="F5" i="10"/>
  <c r="L5" i="10" s="1"/>
  <c r="L8" i="10" s="1"/>
  <c r="F16" i="10"/>
  <c r="L16" i="10" s="1"/>
  <c r="I5" i="10"/>
  <c r="O5" i="10" s="1"/>
  <c r="O8" i="10" s="1"/>
  <c r="F15" i="10"/>
  <c r="L15" i="10" s="1"/>
  <c r="F7" i="10"/>
  <c r="L7" i="10" s="1"/>
  <c r="G5" i="10"/>
  <c r="M5" i="10" s="1"/>
  <c r="E6" i="10"/>
  <c r="K6" i="10" s="1"/>
  <c r="F6" i="10"/>
  <c r="L6" i="10" s="1"/>
  <c r="H7" i="9"/>
  <c r="H6" i="9"/>
  <c r="H5" i="9"/>
  <c r="H3" i="9"/>
  <c r="D7" i="8"/>
  <c r="G6" i="8" s="1"/>
  <c r="C7" i="8"/>
  <c r="D8" i="9"/>
  <c r="C8" i="9"/>
  <c r="E3" i="9" s="1"/>
  <c r="K8" i="10" l="1"/>
  <c r="O34" i="10"/>
  <c r="L18" i="10"/>
  <c r="L34" i="10" s="1"/>
  <c r="K18" i="10"/>
  <c r="M8" i="10"/>
  <c r="M34" i="10" s="1"/>
  <c r="F5" i="8"/>
  <c r="F4" i="8"/>
  <c r="G4" i="8"/>
  <c r="I5" i="8"/>
  <c r="F6" i="8"/>
  <c r="G5" i="8"/>
  <c r="I6" i="8"/>
  <c r="F5" i="9"/>
  <c r="F3" i="9"/>
  <c r="F7" i="9"/>
  <c r="E3" i="8"/>
  <c r="E5" i="8"/>
  <c r="E6" i="8"/>
  <c r="E4" i="8"/>
  <c r="E4" i="9"/>
  <c r="E7" i="9"/>
  <c r="E6" i="9"/>
  <c r="E5" i="9"/>
  <c r="AH21" i="6"/>
  <c r="AH20" i="6"/>
  <c r="AH19" i="6"/>
  <c r="AH18" i="6"/>
  <c r="AD21" i="6"/>
  <c r="AD20" i="6"/>
  <c r="AD19" i="6"/>
  <c r="AD18" i="6"/>
  <c r="Y21" i="6"/>
  <c r="Y20" i="6"/>
  <c r="Y19" i="6"/>
  <c r="Y18" i="6"/>
  <c r="U21" i="6"/>
  <c r="U20" i="6"/>
  <c r="U19" i="6"/>
  <c r="U18" i="6"/>
  <c r="P21" i="6"/>
  <c r="P20" i="6"/>
  <c r="P19" i="6"/>
  <c r="P18" i="6"/>
  <c r="L21" i="6"/>
  <c r="L20" i="6"/>
  <c r="L19" i="6"/>
  <c r="L18" i="6"/>
  <c r="G21" i="6"/>
  <c r="G20" i="6"/>
  <c r="G18" i="6"/>
  <c r="G19" i="6"/>
  <c r="K6" i="3" l="1"/>
  <c r="L6" i="3"/>
  <c r="M6" i="3"/>
  <c r="N6" i="3"/>
  <c r="O6" i="3"/>
  <c r="J6" i="3"/>
  <c r="P5" i="3"/>
</calcChain>
</file>

<file path=xl/sharedStrings.xml><?xml version="1.0" encoding="utf-8"?>
<sst xmlns="http://schemas.openxmlformats.org/spreadsheetml/2006/main" count="1010" uniqueCount="217">
  <si>
    <t>origin_airport</t>
  </si>
  <si>
    <t>departure_time</t>
  </si>
  <si>
    <t>destination_airport</t>
  </si>
  <si>
    <t>arrival_time</t>
  </si>
  <si>
    <t>flight_time</t>
  </si>
  <si>
    <t>MP7760</t>
  </si>
  <si>
    <t>AMS</t>
  </si>
  <si>
    <t>VCP</t>
  </si>
  <si>
    <t>0 days 12:22:00</t>
  </si>
  <si>
    <t>SCL</t>
  </si>
  <si>
    <t>0 days 03:50:00</t>
  </si>
  <si>
    <t>UIO</t>
  </si>
  <si>
    <t>0 days 06:15:00</t>
  </si>
  <si>
    <t>MIA</t>
  </si>
  <si>
    <t>0 days 03:55:00</t>
  </si>
  <si>
    <t>0 days 08:35:00</t>
  </si>
  <si>
    <t>MP7340</t>
  </si>
  <si>
    <t>0 days 12:21:00</t>
  </si>
  <si>
    <t>MP6910</t>
  </si>
  <si>
    <t>0 days 11:40:00</t>
  </si>
  <si>
    <t>EZE</t>
  </si>
  <si>
    <t>0 days 03:00:00</t>
  </si>
  <si>
    <t>0 days 06:10:00</t>
  </si>
  <si>
    <t>MP6160</t>
  </si>
  <si>
    <t>0 days 09:30:00</t>
  </si>
  <si>
    <t>BOG</t>
  </si>
  <si>
    <t>0 days 03:35:00</t>
  </si>
  <si>
    <t>0 days 03:45:00</t>
  </si>
  <si>
    <t>MP6140</t>
  </si>
  <si>
    <t>GUA</t>
  </si>
  <si>
    <t>0 days 02:35:00</t>
  </si>
  <si>
    <t>0 days 03:05:00</t>
  </si>
  <si>
    <t>0 days 01:35:00</t>
  </si>
  <si>
    <t>MP6120</t>
  </si>
  <si>
    <t>MP8910</t>
  </si>
  <si>
    <t>CAI</t>
  </si>
  <si>
    <t>0 days 03:10:00</t>
  </si>
  <si>
    <t>NBO</t>
  </si>
  <si>
    <t>0 days 05:55:00</t>
  </si>
  <si>
    <t>0 days 08:55:00</t>
  </si>
  <si>
    <t>MP8560</t>
  </si>
  <si>
    <t>JNB</t>
  </si>
  <si>
    <t>0 days 10:50:00</t>
  </si>
  <si>
    <t>MP8320</t>
  </si>
  <si>
    <t>HRE</t>
  </si>
  <si>
    <t>0 days 01:30:00</t>
  </si>
  <si>
    <t>0 days 02:50:00</t>
  </si>
  <si>
    <t>MP8340</t>
  </si>
  <si>
    <t>MP8370</t>
  </si>
  <si>
    <t>airport</t>
  </si>
  <si>
    <t>region</t>
  </si>
  <si>
    <t>EU</t>
  </si>
  <si>
    <t>NrA</t>
  </si>
  <si>
    <t>SA</t>
  </si>
  <si>
    <t>CA</t>
  </si>
  <si>
    <t>NEA</t>
  </si>
  <si>
    <t>AF</t>
  </si>
  <si>
    <t>exports africa to europe</t>
  </si>
  <si>
    <t>east africa (NBO)</t>
  </si>
  <si>
    <t>north africa (CAI)</t>
  </si>
  <si>
    <t>south africa (HRE, JNB)</t>
  </si>
  <si>
    <t>imports europe to africa</t>
  </si>
  <si>
    <t>general africa markets</t>
  </si>
  <si>
    <t>egypt (CAI)</t>
  </si>
  <si>
    <t>south africa (JNB)</t>
  </si>
  <si>
    <t xml:space="preserve">zimbabwe (HRE) </t>
  </si>
  <si>
    <t>africa to europe tonnes:</t>
  </si>
  <si>
    <t>880 000</t>
  </si>
  <si>
    <t>europe to africa tonnes</t>
  </si>
  <si>
    <t>689 000</t>
  </si>
  <si>
    <t>AFRICA</t>
  </si>
  <si>
    <t>NORTH-AMERICA - EUROPE</t>
  </si>
  <si>
    <t>general north-america - europe markets</t>
  </si>
  <si>
    <t>germany</t>
  </si>
  <si>
    <t>uk</t>
  </si>
  <si>
    <t>italy</t>
  </si>
  <si>
    <t>france</t>
  </si>
  <si>
    <t>nl (AMS)</t>
  </si>
  <si>
    <t>north-america to europe tonnes</t>
  </si>
  <si>
    <t>1.5 M</t>
  </si>
  <si>
    <t>europe to north-america tonnes</t>
  </si>
  <si>
    <t>2.1 M</t>
  </si>
  <si>
    <t>LATIN-AMERICA EUROPE</t>
  </si>
  <si>
    <t>general latin-america europe markets</t>
  </si>
  <si>
    <t xml:space="preserve">south america: </t>
  </si>
  <si>
    <t>brazil (VCP)</t>
  </si>
  <si>
    <t>colombia (BOG)</t>
  </si>
  <si>
    <t>ecuador (UIO)</t>
  </si>
  <si>
    <t>argentina (EZE)</t>
  </si>
  <si>
    <t>chile (SCL)</t>
  </si>
  <si>
    <t>central america:</t>
  </si>
  <si>
    <t>mexico</t>
  </si>
  <si>
    <t xml:space="preserve">panama </t>
  </si>
  <si>
    <t>costa rica</t>
  </si>
  <si>
    <t>guatemala (GUA)</t>
  </si>
  <si>
    <t>latin-america to europe tonnes</t>
  </si>
  <si>
    <t>417 000</t>
  </si>
  <si>
    <t>europe to latin-america tonnes</t>
  </si>
  <si>
    <t>463 000</t>
  </si>
  <si>
    <t>LATIN-AMERICA NORTH-AMERICA</t>
  </si>
  <si>
    <t>general latin-america north-america martkets</t>
  </si>
  <si>
    <t>south america:</t>
  </si>
  <si>
    <t>1 220 000 tonnes (75%)</t>
  </si>
  <si>
    <t xml:space="preserve">central america: </t>
  </si>
  <si>
    <t>300 000 tonnes (19%)</t>
  </si>
  <si>
    <t>latin-america to north-america tonnes</t>
  </si>
  <si>
    <t>north-america to latin-america tonnes</t>
  </si>
  <si>
    <t>1 060 000</t>
  </si>
  <si>
    <t>575 000</t>
  </si>
  <si>
    <t>326 000</t>
  </si>
  <si>
    <t>intra-africa tonnes (excluding domestic)</t>
  </si>
  <si>
    <t>intra-latin america tonnes</t>
  </si>
  <si>
    <t>???</t>
  </si>
  <si>
    <t>Van Bockstaele et al. (2023)</t>
  </si>
  <si>
    <t>Boeing World Cargo Forecast</t>
  </si>
  <si>
    <t>560 000 tonnes (67%)</t>
  </si>
  <si>
    <t>caribbean: …</t>
  </si>
  <si>
    <t>254 000 tonnes (23%)</t>
  </si>
  <si>
    <t>-</t>
  </si>
  <si>
    <t>Africa to Europe</t>
  </si>
  <si>
    <t>Perishables</t>
  </si>
  <si>
    <t>Metals</t>
  </si>
  <si>
    <t>Machinery</t>
  </si>
  <si>
    <t>Textiles</t>
  </si>
  <si>
    <t>Glass</t>
  </si>
  <si>
    <t>Chemicals</t>
  </si>
  <si>
    <t>other</t>
  </si>
  <si>
    <t>Europe to Africa</t>
  </si>
  <si>
    <t>Art</t>
  </si>
  <si>
    <t>Definitions</t>
  </si>
  <si>
    <t>perishables</t>
  </si>
  <si>
    <t>Time and/or temperature-sensitive items that require fast and safe delivery to maintain quality and effectiveness. For example meat, fish, fruits, vegetables and flowers</t>
  </si>
  <si>
    <t>chemicals</t>
  </si>
  <si>
    <t>heavy</t>
  </si>
  <si>
    <t>Wide variety of products such as fertilizers, raw materials for the pharmaceutical and cosmetics industries, flavoring agents, adhesives, and sealants, as well as reference materials for laboratory testing.</t>
  </si>
  <si>
    <t>Commodities not belonging to the previous two categories that are characterized by a higher density, such as metals, machinery, or computers.</t>
  </si>
  <si>
    <t>Generic requests that do not belong to any of the previous three categories</t>
  </si>
  <si>
    <t>Computers</t>
  </si>
  <si>
    <t>Wood</t>
  </si>
  <si>
    <t xml:space="preserve">Other </t>
  </si>
  <si>
    <t>Other</t>
  </si>
  <si>
    <t>North America to Europe</t>
  </si>
  <si>
    <t>Documents</t>
  </si>
  <si>
    <t>Vegetables</t>
  </si>
  <si>
    <t>Europe to North America</t>
  </si>
  <si>
    <t>Animal products</t>
  </si>
  <si>
    <t>Mischellaneous</t>
  </si>
  <si>
    <t>Latin America to Europe</t>
  </si>
  <si>
    <t>Transportation equip</t>
  </si>
  <si>
    <t>Europe to Latin America</t>
  </si>
  <si>
    <t>Latin America to North America</t>
  </si>
  <si>
    <t>North America to Latin America</t>
  </si>
  <si>
    <t>Transportation equp</t>
  </si>
  <si>
    <t>SOUTH AMERICA</t>
  </si>
  <si>
    <t>importance (%)</t>
  </si>
  <si>
    <t>importance normalizado</t>
  </si>
  <si>
    <t>country</t>
  </si>
  <si>
    <t>SA-EU</t>
  </si>
  <si>
    <t>SA-NA</t>
  </si>
  <si>
    <t>Colombia</t>
  </si>
  <si>
    <t>Argentina</t>
  </si>
  <si>
    <t>Ecuador</t>
  </si>
  <si>
    <t>Brasil</t>
  </si>
  <si>
    <t>Chile</t>
  </si>
  <si>
    <t>importance</t>
  </si>
  <si>
    <t>Egypt</t>
  </si>
  <si>
    <t>Zimbauwe</t>
  </si>
  <si>
    <t>south africa</t>
  </si>
  <si>
    <t>kenya</t>
  </si>
  <si>
    <t>kenya (NBO)</t>
  </si>
  <si>
    <t>EUROPA</t>
  </si>
  <si>
    <t>NL</t>
  </si>
  <si>
    <t>NORTH AMERICA</t>
  </si>
  <si>
    <t>USA</t>
  </si>
  <si>
    <t>CENTRAL AMERICA</t>
  </si>
  <si>
    <t>Guatemala</t>
  </si>
  <si>
    <t>xxx</t>
  </si>
  <si>
    <t>w/o cairo</t>
  </si>
  <si>
    <t>AF - EU</t>
  </si>
  <si>
    <t>EU - AF</t>
  </si>
  <si>
    <t>NrA - EU</t>
  </si>
  <si>
    <t>EU - NrA</t>
  </si>
  <si>
    <t>SA - EU</t>
  </si>
  <si>
    <t>EU - SA</t>
  </si>
  <si>
    <t>SA - NrA</t>
  </si>
  <si>
    <t>NrA - SA</t>
  </si>
  <si>
    <t>CA - EU</t>
  </si>
  <si>
    <t>EU - CA</t>
  </si>
  <si>
    <t>CA - NrA</t>
  </si>
  <si>
    <t>NrA - CA</t>
  </si>
  <si>
    <t>SA - CA</t>
  </si>
  <si>
    <t>CA - SA</t>
  </si>
  <si>
    <t>SA - AF</t>
  </si>
  <si>
    <t>AF - SA</t>
  </si>
  <si>
    <t>CA - AF</t>
  </si>
  <si>
    <t>AF - CA</t>
  </si>
  <si>
    <t>NrA - AF</t>
  </si>
  <si>
    <t>AF - NrA</t>
  </si>
  <si>
    <t>EU - EU</t>
  </si>
  <si>
    <t>SA - SA</t>
  </si>
  <si>
    <t>NrA - NrA</t>
  </si>
  <si>
    <t>AF - AF</t>
  </si>
  <si>
    <t>CA - CA</t>
  </si>
  <si>
    <t>chemical</t>
  </si>
  <si>
    <t>perishable</t>
  </si>
  <si>
    <t>SMALL SCHEDULE</t>
  </si>
  <si>
    <t>FULL SCHEDULE</t>
  </si>
  <si>
    <t xml:space="preserve">1 of 2 Intra SA via MIA </t>
  </si>
  <si>
    <t>2 of 3 via AMS</t>
  </si>
  <si>
    <t>+++</t>
  </si>
  <si>
    <t>++</t>
  </si>
  <si>
    <t>+</t>
  </si>
  <si>
    <t>--</t>
  </si>
  <si>
    <t>---</t>
  </si>
  <si>
    <t>All intra SA via MIA</t>
  </si>
  <si>
    <t>All intra AF via AMS</t>
  </si>
  <si>
    <t>All intra SA via 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</si>
</sst>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2" borderId="0" xfId="0" applyFill="1"/>
    <xf numFmtId="9" fontId="0" fillId="0" borderId="0" xfId="0" applyNumberFormat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3" fillId="4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4" fillId="5" borderId="0" xfId="0" applyFont="1" applyFill="1"/>
    <xf numFmtId="0" fontId="0" fillId="5" borderId="0" xfId="0" applyFill="1"/>
    <xf numFmtId="0" fontId="4" fillId="4" borderId="0" xfId="0" applyFont="1" applyFill="1"/>
    <xf numFmtId="9" fontId="0" fillId="4" borderId="0" xfId="0" applyNumberFormat="1" applyFill="1"/>
    <xf numFmtId="9" fontId="0" fillId="2" borderId="0" xfId="0" applyNumberFormat="1" applyFill="1"/>
    <xf numFmtId="2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0" applyNumberFormat="1"/>
    <xf numFmtId="165" fontId="0" fillId="6" borderId="0" xfId="0" applyNumberFormat="1" applyFill="1"/>
    <xf numFmtId="165" fontId="0" fillId="7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8" borderId="0" xfId="0" applyFont="1" applyFill="1"/>
    <xf numFmtId="2" fontId="0" fillId="9" borderId="0" xfId="0" applyNumberFormat="1" applyFill="1"/>
    <xf numFmtId="0" fontId="5" fillId="10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opLeftCell="A4" workbookViewId="0">
      <selection activeCell="E20" sqref="A1:F48"/>
    </sheetView>
  </sheetViews>
  <sheetFormatPr defaultRowHeight="14.4" x14ac:dyDescent="0.3"/>
  <cols>
    <col min="2" max="2" width="12.109375" bestFit="1" customWidth="1"/>
    <col min="3" max="3" width="18.109375" bestFit="1" customWidth="1"/>
    <col min="4" max="4" width="16.77734375" bestFit="1" customWidth="1"/>
    <col min="5" max="5" width="18.109375" bestFit="1" customWidth="1"/>
    <col min="6" max="6" width="13.777343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6</v>
      </c>
      <c r="C2" s="1">
        <v>45472.915972222218</v>
      </c>
      <c r="D2" t="s">
        <v>7</v>
      </c>
      <c r="E2" s="1">
        <v>45473.431250000001</v>
      </c>
      <c r="F2" t="s">
        <v>8</v>
      </c>
    </row>
    <row r="3" spans="1:6" x14ac:dyDescent="0.3">
      <c r="A3" t="s">
        <v>5</v>
      </c>
      <c r="B3" t="s">
        <v>7</v>
      </c>
      <c r="C3" s="1">
        <v>45473.513888888891</v>
      </c>
      <c r="D3" t="s">
        <v>9</v>
      </c>
      <c r="E3" s="1">
        <v>45473.673611111109</v>
      </c>
      <c r="F3" s="2" t="s">
        <v>10</v>
      </c>
    </row>
    <row r="4" spans="1:6" x14ac:dyDescent="0.3">
      <c r="A4" t="s">
        <v>5</v>
      </c>
      <c r="B4" t="s">
        <v>9</v>
      </c>
      <c r="C4" s="1">
        <v>45473.756944444453</v>
      </c>
      <c r="D4" t="s">
        <v>11</v>
      </c>
      <c r="E4" s="1">
        <v>45473.975694444453</v>
      </c>
      <c r="F4" s="2" t="s">
        <v>12</v>
      </c>
    </row>
    <row r="5" spans="1:6" x14ac:dyDescent="0.3">
      <c r="A5" t="s">
        <v>5</v>
      </c>
      <c r="B5" t="s">
        <v>11</v>
      </c>
      <c r="C5" s="1">
        <v>45474.059027777781</v>
      </c>
      <c r="D5" t="s">
        <v>13</v>
      </c>
      <c r="E5" s="1">
        <v>45474.222222222219</v>
      </c>
      <c r="F5" t="s">
        <v>14</v>
      </c>
    </row>
    <row r="6" spans="1:6" x14ac:dyDescent="0.3">
      <c r="A6" t="s">
        <v>5</v>
      </c>
      <c r="B6" t="s">
        <v>13</v>
      </c>
      <c r="C6" s="1">
        <v>45474.284722222219</v>
      </c>
      <c r="D6" t="s">
        <v>6</v>
      </c>
      <c r="E6" s="1">
        <v>45474.642361111109</v>
      </c>
      <c r="F6" t="s">
        <v>15</v>
      </c>
    </row>
    <row r="7" spans="1:6" x14ac:dyDescent="0.3">
      <c r="A7" t="s">
        <v>16</v>
      </c>
      <c r="B7" t="s">
        <v>6</v>
      </c>
      <c r="C7" s="1">
        <v>45470.915972222218</v>
      </c>
      <c r="D7" t="s">
        <v>7</v>
      </c>
      <c r="E7" s="1">
        <v>45471.430555555547</v>
      </c>
      <c r="F7" t="s">
        <v>17</v>
      </c>
    </row>
    <row r="8" spans="1:6" x14ac:dyDescent="0.3">
      <c r="A8" t="s">
        <v>16</v>
      </c>
      <c r="B8" t="s">
        <v>7</v>
      </c>
      <c r="C8" s="1">
        <v>45471.513888888891</v>
      </c>
      <c r="D8" t="s">
        <v>9</v>
      </c>
      <c r="E8" s="1">
        <v>45471.673611111109</v>
      </c>
      <c r="F8" s="2" t="s">
        <v>10</v>
      </c>
    </row>
    <row r="9" spans="1:6" x14ac:dyDescent="0.3">
      <c r="A9" t="s">
        <v>16</v>
      </c>
      <c r="B9" t="s">
        <v>9</v>
      </c>
      <c r="C9" s="1">
        <v>45471.756944444453</v>
      </c>
      <c r="D9" t="s">
        <v>11</v>
      </c>
      <c r="E9" s="1">
        <v>45471.975694444453</v>
      </c>
      <c r="F9" s="2" t="s">
        <v>12</v>
      </c>
    </row>
    <row r="10" spans="1:6" x14ac:dyDescent="0.3">
      <c r="A10" t="s">
        <v>16</v>
      </c>
      <c r="B10" t="s">
        <v>11</v>
      </c>
      <c r="C10" s="1">
        <v>45472.059027777781</v>
      </c>
      <c r="D10" t="s">
        <v>13</v>
      </c>
      <c r="E10" s="1">
        <v>45472.222222222219</v>
      </c>
      <c r="F10" t="s">
        <v>14</v>
      </c>
    </row>
    <row r="11" spans="1:6" x14ac:dyDescent="0.3">
      <c r="A11" t="s">
        <v>16</v>
      </c>
      <c r="B11" t="s">
        <v>13</v>
      </c>
      <c r="C11" s="1">
        <v>45472.284722222219</v>
      </c>
      <c r="D11" t="s">
        <v>6</v>
      </c>
      <c r="E11" s="1">
        <v>45472.642361111109</v>
      </c>
      <c r="F11" t="s">
        <v>15</v>
      </c>
    </row>
    <row r="12" spans="1:6" x14ac:dyDescent="0.3">
      <c r="A12" t="s">
        <v>18</v>
      </c>
      <c r="B12" t="s">
        <v>6</v>
      </c>
      <c r="C12" s="1">
        <v>45467.861111111109</v>
      </c>
      <c r="D12" t="s">
        <v>7</v>
      </c>
      <c r="E12" s="1">
        <v>45468.347222222219</v>
      </c>
      <c r="F12" t="s">
        <v>19</v>
      </c>
    </row>
    <row r="13" spans="1:6" x14ac:dyDescent="0.3">
      <c r="A13" t="s">
        <v>18</v>
      </c>
      <c r="B13" t="s">
        <v>7</v>
      </c>
      <c r="C13" s="1">
        <v>45468.430555555547</v>
      </c>
      <c r="D13" t="s">
        <v>20</v>
      </c>
      <c r="E13" s="1">
        <v>45468.555555555547</v>
      </c>
      <c r="F13" s="2" t="s">
        <v>21</v>
      </c>
    </row>
    <row r="14" spans="1:6" x14ac:dyDescent="0.3">
      <c r="A14" t="s">
        <v>18</v>
      </c>
      <c r="B14" t="s">
        <v>20</v>
      </c>
      <c r="C14" s="1">
        <v>45468.638888888891</v>
      </c>
      <c r="D14" t="s">
        <v>11</v>
      </c>
      <c r="E14" s="1">
        <v>45468.895833333343</v>
      </c>
      <c r="F14" t="s">
        <v>22</v>
      </c>
    </row>
    <row r="15" spans="1:6" x14ac:dyDescent="0.3">
      <c r="A15" t="s">
        <v>18</v>
      </c>
      <c r="B15" t="s">
        <v>11</v>
      </c>
      <c r="C15" s="1">
        <v>45468.979166666657</v>
      </c>
      <c r="D15" t="s">
        <v>13</v>
      </c>
      <c r="E15" s="1">
        <v>45469.142361111109</v>
      </c>
      <c r="F15" t="s">
        <v>14</v>
      </c>
    </row>
    <row r="16" spans="1:6" x14ac:dyDescent="0.3">
      <c r="A16" t="s">
        <v>18</v>
      </c>
      <c r="B16" t="s">
        <v>13</v>
      </c>
      <c r="C16" s="1">
        <v>45469.239583333343</v>
      </c>
      <c r="D16" t="s">
        <v>6</v>
      </c>
      <c r="E16" s="1">
        <v>45469.597222222219</v>
      </c>
      <c r="F16" t="s">
        <v>15</v>
      </c>
    </row>
    <row r="17" spans="1:6" x14ac:dyDescent="0.3">
      <c r="A17" t="s">
        <v>23</v>
      </c>
      <c r="B17" t="s">
        <v>6</v>
      </c>
      <c r="C17" s="1">
        <v>45472.333333333343</v>
      </c>
      <c r="D17" t="s">
        <v>13</v>
      </c>
      <c r="E17" s="1">
        <v>45472.729166666657</v>
      </c>
      <c r="F17" t="s">
        <v>24</v>
      </c>
    </row>
    <row r="18" spans="1:6" x14ac:dyDescent="0.3">
      <c r="A18" t="s">
        <v>23</v>
      </c>
      <c r="B18" t="s">
        <v>13</v>
      </c>
      <c r="C18" s="1">
        <v>45472.8125</v>
      </c>
      <c r="D18" t="s">
        <v>25</v>
      </c>
      <c r="E18" s="1">
        <v>45472.961805555547</v>
      </c>
      <c r="F18" t="s">
        <v>26</v>
      </c>
    </row>
    <row r="19" spans="1:6" x14ac:dyDescent="0.3">
      <c r="A19" t="s">
        <v>23</v>
      </c>
      <c r="B19" t="s">
        <v>25</v>
      </c>
      <c r="C19" s="1">
        <v>45473.045138888891</v>
      </c>
      <c r="D19" t="s">
        <v>13</v>
      </c>
      <c r="E19" s="1">
        <v>45473.201388888891</v>
      </c>
      <c r="F19" t="s">
        <v>27</v>
      </c>
    </row>
    <row r="20" spans="1:6" x14ac:dyDescent="0.3">
      <c r="A20" t="s">
        <v>23</v>
      </c>
      <c r="B20" t="s">
        <v>13</v>
      </c>
      <c r="C20" s="1">
        <v>45473.270833333343</v>
      </c>
      <c r="D20" t="s">
        <v>6</v>
      </c>
      <c r="E20" s="1">
        <v>45473.621527777781</v>
      </c>
      <c r="F20" t="s">
        <v>15</v>
      </c>
    </row>
    <row r="21" spans="1:6" x14ac:dyDescent="0.3">
      <c r="A21" t="s">
        <v>28</v>
      </c>
      <c r="B21" t="s">
        <v>6</v>
      </c>
      <c r="C21" s="1">
        <v>45470.243055555547</v>
      </c>
      <c r="D21" t="s">
        <v>13</v>
      </c>
      <c r="E21" s="1">
        <v>45470.638888888891</v>
      </c>
      <c r="F21" t="s">
        <v>24</v>
      </c>
    </row>
    <row r="22" spans="1:6" x14ac:dyDescent="0.3">
      <c r="A22" t="s">
        <v>28</v>
      </c>
      <c r="B22" t="s">
        <v>13</v>
      </c>
      <c r="C22" s="1">
        <v>45470.722222222219</v>
      </c>
      <c r="D22" t="s">
        <v>29</v>
      </c>
      <c r="E22" s="1">
        <v>45470.829861111109</v>
      </c>
      <c r="F22" s="2" t="s">
        <v>30</v>
      </c>
    </row>
    <row r="23" spans="1:6" x14ac:dyDescent="0.3">
      <c r="A23" t="s">
        <v>28</v>
      </c>
      <c r="B23" t="s">
        <v>29</v>
      </c>
      <c r="C23" s="1">
        <v>45470.913194444453</v>
      </c>
      <c r="D23" t="s">
        <v>11</v>
      </c>
      <c r="E23" s="1">
        <v>45471.041666666657</v>
      </c>
      <c r="F23" t="s">
        <v>31</v>
      </c>
    </row>
    <row r="24" spans="1:6" x14ac:dyDescent="0.3">
      <c r="A24" t="s">
        <v>28</v>
      </c>
      <c r="B24" t="s">
        <v>11</v>
      </c>
      <c r="C24" s="1">
        <v>45471.125</v>
      </c>
      <c r="D24" t="s">
        <v>25</v>
      </c>
      <c r="E24" s="1">
        <v>45471.190972222219</v>
      </c>
      <c r="F24" s="2" t="s">
        <v>32</v>
      </c>
    </row>
    <row r="25" spans="1:6" x14ac:dyDescent="0.3">
      <c r="A25" t="s">
        <v>28</v>
      </c>
      <c r="B25" t="s">
        <v>25</v>
      </c>
      <c r="C25" s="1">
        <v>45471.274305555547</v>
      </c>
      <c r="D25" t="s">
        <v>13</v>
      </c>
      <c r="E25" s="1">
        <v>45471.430555555547</v>
      </c>
      <c r="F25" t="s">
        <v>27</v>
      </c>
    </row>
    <row r="26" spans="1:6" x14ac:dyDescent="0.3">
      <c r="A26" t="s">
        <v>28</v>
      </c>
      <c r="B26" t="s">
        <v>13</v>
      </c>
      <c r="C26" s="1">
        <v>45471.517361111109</v>
      </c>
      <c r="D26" t="s">
        <v>6</v>
      </c>
      <c r="E26" s="1">
        <v>45471.875</v>
      </c>
      <c r="F26" t="s">
        <v>15</v>
      </c>
    </row>
    <row r="27" spans="1:6" x14ac:dyDescent="0.3">
      <c r="A27" t="s">
        <v>33</v>
      </c>
      <c r="B27" t="s">
        <v>6</v>
      </c>
      <c r="C27" s="1">
        <v>45468.333333333343</v>
      </c>
      <c r="D27" t="s">
        <v>13</v>
      </c>
      <c r="E27" s="1">
        <v>45468.729166666657</v>
      </c>
      <c r="F27" t="s">
        <v>24</v>
      </c>
    </row>
    <row r="28" spans="1:6" x14ac:dyDescent="0.3">
      <c r="A28" t="s">
        <v>33</v>
      </c>
      <c r="B28" t="s">
        <v>13</v>
      </c>
      <c r="C28" s="1">
        <v>45468.8125</v>
      </c>
      <c r="D28" t="s">
        <v>25</v>
      </c>
      <c r="E28" s="1">
        <v>45468.961805555547</v>
      </c>
      <c r="F28" t="s">
        <v>26</v>
      </c>
    </row>
    <row r="29" spans="1:6" x14ac:dyDescent="0.3">
      <c r="A29" t="s">
        <v>33</v>
      </c>
      <c r="B29" t="s">
        <v>25</v>
      </c>
      <c r="C29" s="1">
        <v>45469.045138888891</v>
      </c>
      <c r="D29" t="s">
        <v>13</v>
      </c>
      <c r="E29" s="1">
        <v>45469.201388888891</v>
      </c>
      <c r="F29" t="s">
        <v>27</v>
      </c>
    </row>
    <row r="30" spans="1:6" x14ac:dyDescent="0.3">
      <c r="A30" t="s">
        <v>33</v>
      </c>
      <c r="B30" t="s">
        <v>13</v>
      </c>
      <c r="C30" s="1">
        <v>45469.291666666657</v>
      </c>
      <c r="D30" t="s">
        <v>6</v>
      </c>
      <c r="E30" s="1">
        <v>45469.649305555547</v>
      </c>
      <c r="F30" t="s">
        <v>15</v>
      </c>
    </row>
    <row r="31" spans="1:6" x14ac:dyDescent="0.3">
      <c r="A31" t="s">
        <v>34</v>
      </c>
      <c r="B31" t="s">
        <v>6</v>
      </c>
      <c r="C31" s="1">
        <v>45467.579861111109</v>
      </c>
      <c r="D31" t="s">
        <v>35</v>
      </c>
      <c r="E31" s="1">
        <v>45467.711805555547</v>
      </c>
      <c r="F31" t="s">
        <v>36</v>
      </c>
    </row>
    <row r="32" spans="1:6" x14ac:dyDescent="0.3">
      <c r="A32" t="s">
        <v>34</v>
      </c>
      <c r="B32" t="s">
        <v>35</v>
      </c>
      <c r="C32" s="1">
        <v>45467.795138888891</v>
      </c>
      <c r="D32" t="s">
        <v>37</v>
      </c>
      <c r="E32" s="1">
        <v>45468.041666666657</v>
      </c>
      <c r="F32" t="s">
        <v>38</v>
      </c>
    </row>
    <row r="33" spans="1:6" x14ac:dyDescent="0.3">
      <c r="A33" t="s">
        <v>34</v>
      </c>
      <c r="B33" t="s">
        <v>37</v>
      </c>
      <c r="C33" s="1">
        <v>45468.333333333343</v>
      </c>
      <c r="D33" t="s">
        <v>6</v>
      </c>
      <c r="E33" s="1">
        <v>45468.704861111109</v>
      </c>
      <c r="F33" s="2" t="s">
        <v>39</v>
      </c>
    </row>
    <row r="34" spans="1:6" x14ac:dyDescent="0.3">
      <c r="A34" t="s">
        <v>40</v>
      </c>
      <c r="B34" t="s">
        <v>6</v>
      </c>
      <c r="C34" s="1">
        <v>45472.861111111109</v>
      </c>
      <c r="D34" t="s">
        <v>41</v>
      </c>
      <c r="E34" s="1">
        <v>45473.3125</v>
      </c>
      <c r="F34" t="s">
        <v>42</v>
      </c>
    </row>
    <row r="35" spans="1:6" x14ac:dyDescent="0.3">
      <c r="A35" t="s">
        <v>40</v>
      </c>
      <c r="B35" t="s">
        <v>41</v>
      </c>
      <c r="C35" s="1">
        <v>45473.447916666657</v>
      </c>
      <c r="D35" t="s">
        <v>37</v>
      </c>
      <c r="E35" s="1">
        <v>45473.607638888891</v>
      </c>
      <c r="F35" s="2" t="s">
        <v>10</v>
      </c>
    </row>
    <row r="36" spans="1:6" x14ac:dyDescent="0.3">
      <c r="A36" t="s">
        <v>40</v>
      </c>
      <c r="B36" t="s">
        <v>37</v>
      </c>
      <c r="C36" s="1">
        <v>45473.833333333343</v>
      </c>
      <c r="D36" t="s">
        <v>6</v>
      </c>
      <c r="E36" s="1">
        <v>45474.204861111109</v>
      </c>
      <c r="F36" t="s">
        <v>39</v>
      </c>
    </row>
    <row r="37" spans="1:6" x14ac:dyDescent="0.3">
      <c r="A37" t="s">
        <v>43</v>
      </c>
      <c r="B37" t="s">
        <v>6</v>
      </c>
      <c r="C37" s="1">
        <v>45468.902777777781</v>
      </c>
      <c r="D37" t="s">
        <v>41</v>
      </c>
      <c r="E37" s="1">
        <v>45469.354166666657</v>
      </c>
      <c r="F37" t="s">
        <v>42</v>
      </c>
    </row>
    <row r="38" spans="1:6" x14ac:dyDescent="0.3">
      <c r="A38" t="s">
        <v>43</v>
      </c>
      <c r="B38" t="s">
        <v>41</v>
      </c>
      <c r="C38" s="1">
        <v>45469.447916666657</v>
      </c>
      <c r="D38" t="s">
        <v>44</v>
      </c>
      <c r="E38" s="1">
        <v>45469.510416666657</v>
      </c>
      <c r="F38" s="2" t="s">
        <v>45</v>
      </c>
    </row>
    <row r="39" spans="1:6" x14ac:dyDescent="0.3">
      <c r="A39" t="s">
        <v>43</v>
      </c>
      <c r="B39" t="s">
        <v>44</v>
      </c>
      <c r="C39" s="1">
        <v>45469.572916666657</v>
      </c>
      <c r="D39" t="s">
        <v>37</v>
      </c>
      <c r="E39" s="1">
        <v>45469.690972222219</v>
      </c>
      <c r="F39" s="3" t="s">
        <v>46</v>
      </c>
    </row>
    <row r="40" spans="1:6" x14ac:dyDescent="0.3">
      <c r="A40" t="s">
        <v>43</v>
      </c>
      <c r="B40" t="s">
        <v>37</v>
      </c>
      <c r="C40" s="1">
        <v>45469.833333333343</v>
      </c>
      <c r="D40" t="s">
        <v>6</v>
      </c>
      <c r="E40" s="1">
        <v>45470.204861111109</v>
      </c>
      <c r="F40" t="s">
        <v>39</v>
      </c>
    </row>
    <row r="41" spans="1:6" x14ac:dyDescent="0.3">
      <c r="A41" t="s">
        <v>47</v>
      </c>
      <c r="B41" t="s">
        <v>6</v>
      </c>
      <c r="C41" s="1">
        <v>45470.861111111109</v>
      </c>
      <c r="D41" t="s">
        <v>41</v>
      </c>
      <c r="E41" s="1">
        <v>45471.3125</v>
      </c>
      <c r="F41" t="s">
        <v>42</v>
      </c>
    </row>
    <row r="42" spans="1:6" x14ac:dyDescent="0.3">
      <c r="A42" t="s">
        <v>47</v>
      </c>
      <c r="B42" t="s">
        <v>41</v>
      </c>
      <c r="C42" s="1">
        <v>45471.447916666657</v>
      </c>
      <c r="D42" t="s">
        <v>44</v>
      </c>
      <c r="E42" s="1">
        <v>45471.510416666657</v>
      </c>
      <c r="F42" s="2" t="s">
        <v>45</v>
      </c>
    </row>
    <row r="43" spans="1:6" x14ac:dyDescent="0.3">
      <c r="A43" t="s">
        <v>47</v>
      </c>
      <c r="B43" t="s">
        <v>44</v>
      </c>
      <c r="C43" s="1">
        <v>45471.572916666657</v>
      </c>
      <c r="D43" t="s">
        <v>37</v>
      </c>
      <c r="E43" s="1">
        <v>45471.732638888891</v>
      </c>
      <c r="F43" s="3" t="s">
        <v>46</v>
      </c>
    </row>
    <row r="44" spans="1:6" x14ac:dyDescent="0.3">
      <c r="A44" t="s">
        <v>47</v>
      </c>
      <c r="B44" t="s">
        <v>37</v>
      </c>
      <c r="C44" s="1">
        <v>45471.833333333343</v>
      </c>
      <c r="D44" t="s">
        <v>6</v>
      </c>
      <c r="E44" s="1">
        <v>45472.204861111109</v>
      </c>
      <c r="F44" t="s">
        <v>39</v>
      </c>
    </row>
    <row r="45" spans="1:6" x14ac:dyDescent="0.3">
      <c r="A45" t="s">
        <v>48</v>
      </c>
      <c r="B45" t="s">
        <v>6</v>
      </c>
      <c r="C45" s="1">
        <v>45473.861111111109</v>
      </c>
      <c r="D45" t="s">
        <v>41</v>
      </c>
      <c r="E45" s="1">
        <v>45474.3125</v>
      </c>
      <c r="F45" t="s">
        <v>42</v>
      </c>
    </row>
    <row r="46" spans="1:6" x14ac:dyDescent="0.3">
      <c r="A46" t="s">
        <v>48</v>
      </c>
      <c r="B46" t="s">
        <v>41</v>
      </c>
      <c r="C46" s="1">
        <v>45474.447916666657</v>
      </c>
      <c r="D46" t="s">
        <v>44</v>
      </c>
      <c r="E46" s="1">
        <v>45474.510416666657</v>
      </c>
      <c r="F46" s="2" t="s">
        <v>45</v>
      </c>
    </row>
    <row r="47" spans="1:6" x14ac:dyDescent="0.3">
      <c r="A47" t="s">
        <v>48</v>
      </c>
      <c r="B47" t="s">
        <v>44</v>
      </c>
      <c r="C47" s="1">
        <v>45474.572916666657</v>
      </c>
      <c r="D47" t="s">
        <v>37</v>
      </c>
      <c r="E47" s="1">
        <v>45474.732638888891</v>
      </c>
      <c r="F47" s="3" t="s">
        <v>46</v>
      </c>
    </row>
    <row r="48" spans="1:6" x14ac:dyDescent="0.3">
      <c r="A48" t="s">
        <v>48</v>
      </c>
      <c r="B48" t="s">
        <v>37</v>
      </c>
      <c r="C48" s="1">
        <v>45474.833333333343</v>
      </c>
      <c r="D48" t="s">
        <v>6</v>
      </c>
      <c r="E48" s="1">
        <v>45475.204861111109</v>
      </c>
      <c r="F48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887E-F2B0-4F51-A7AB-860FFC7B42BB}">
  <dimension ref="A1:I8"/>
  <sheetViews>
    <sheetView workbookViewId="0">
      <selection activeCell="G4" sqref="G4"/>
    </sheetView>
  </sheetViews>
  <sheetFormatPr defaultRowHeight="14.4" x14ac:dyDescent="0.3"/>
  <sheetData>
    <row r="1" spans="1:9" x14ac:dyDescent="0.3">
      <c r="A1" t="s">
        <v>153</v>
      </c>
      <c r="C1" s="30" t="s">
        <v>154</v>
      </c>
      <c r="D1" s="30"/>
      <c r="E1" s="30" t="s">
        <v>155</v>
      </c>
      <c r="F1" s="30"/>
    </row>
    <row r="2" spans="1:9" x14ac:dyDescent="0.3">
      <c r="A2" t="s">
        <v>49</v>
      </c>
      <c r="B2" t="s">
        <v>156</v>
      </c>
      <c r="C2" t="s">
        <v>157</v>
      </c>
      <c r="D2" t="s">
        <v>158</v>
      </c>
      <c r="E2" t="s">
        <v>51</v>
      </c>
      <c r="F2" t="s">
        <v>52</v>
      </c>
      <c r="G2" t="s">
        <v>53</v>
      </c>
      <c r="H2" t="s">
        <v>56</v>
      </c>
      <c r="I2" t="s">
        <v>54</v>
      </c>
    </row>
    <row r="3" spans="1:9" x14ac:dyDescent="0.3">
      <c r="A3" t="s">
        <v>25</v>
      </c>
      <c r="B3" t="s">
        <v>159</v>
      </c>
      <c r="C3" s="4">
        <v>0.12</v>
      </c>
      <c r="D3" s="4">
        <v>0.26</v>
      </c>
      <c r="E3" s="17">
        <f>C3/C$8</f>
        <v>0.12631578947368419</v>
      </c>
      <c r="F3" s="17">
        <f>D3/D$8</f>
        <v>0.39393939393939392</v>
      </c>
      <c r="G3">
        <f>1/4</f>
        <v>0.25</v>
      </c>
      <c r="H3">
        <f>1/4</f>
        <v>0.25</v>
      </c>
      <c r="I3">
        <f>3/8</f>
        <v>0.375</v>
      </c>
    </row>
    <row r="4" spans="1:9" x14ac:dyDescent="0.3">
      <c r="A4" t="s">
        <v>20</v>
      </c>
      <c r="B4" t="s">
        <v>160</v>
      </c>
      <c r="C4" s="4">
        <v>0.09</v>
      </c>
      <c r="D4" s="4">
        <v>0</v>
      </c>
      <c r="E4" s="17">
        <f>C4/C$8</f>
        <v>9.4736842105263147E-2</v>
      </c>
      <c r="F4" s="17">
        <v>0</v>
      </c>
      <c r="G4">
        <v>0</v>
      </c>
      <c r="H4">
        <v>0</v>
      </c>
      <c r="I4">
        <v>0</v>
      </c>
    </row>
    <row r="5" spans="1:9" x14ac:dyDescent="0.3">
      <c r="A5" t="s">
        <v>11</v>
      </c>
      <c r="B5" t="s">
        <v>161</v>
      </c>
      <c r="C5" s="4">
        <v>0.09</v>
      </c>
      <c r="D5" s="4">
        <v>0.09</v>
      </c>
      <c r="E5" s="17">
        <f>C5/C$8</f>
        <v>9.4736842105263147E-2</v>
      </c>
      <c r="F5" s="17">
        <f>D5/D$8</f>
        <v>0.13636363636363635</v>
      </c>
      <c r="G5">
        <f t="shared" ref="G5:G7" si="0">1/4</f>
        <v>0.25</v>
      </c>
      <c r="H5">
        <f t="shared" ref="H5:H7" si="1">1/4</f>
        <v>0.25</v>
      </c>
      <c r="I5">
        <f>3/8</f>
        <v>0.375</v>
      </c>
    </row>
    <row r="6" spans="1:9" x14ac:dyDescent="0.3">
      <c r="A6" t="s">
        <v>7</v>
      </c>
      <c r="B6" t="s">
        <v>162</v>
      </c>
      <c r="C6" s="4">
        <v>0.53</v>
      </c>
      <c r="D6" s="4">
        <v>0.19</v>
      </c>
      <c r="E6" s="17">
        <f>C6/C$8</f>
        <v>0.55789473684210522</v>
      </c>
      <c r="F6" s="17">
        <f>D6/D$8</f>
        <v>0.28787878787878785</v>
      </c>
      <c r="G6">
        <f t="shared" si="0"/>
        <v>0.25</v>
      </c>
      <c r="H6">
        <f t="shared" si="1"/>
        <v>0.25</v>
      </c>
      <c r="I6">
        <f>1/8</f>
        <v>0.125</v>
      </c>
    </row>
    <row r="7" spans="1:9" x14ac:dyDescent="0.3">
      <c r="A7" t="s">
        <v>9</v>
      </c>
      <c r="B7" t="s">
        <v>163</v>
      </c>
      <c r="C7" s="4">
        <v>0.12</v>
      </c>
      <c r="D7" s="4">
        <v>0.12</v>
      </c>
      <c r="E7" s="17">
        <f>C7/C$8</f>
        <v>0.12631578947368419</v>
      </c>
      <c r="F7" s="17">
        <f>D7/D$8</f>
        <v>0.1818181818181818</v>
      </c>
      <c r="G7">
        <f t="shared" si="0"/>
        <v>0.25</v>
      </c>
      <c r="H7">
        <f t="shared" si="1"/>
        <v>0.25</v>
      </c>
      <c r="I7">
        <f>1/8</f>
        <v>0.125</v>
      </c>
    </row>
    <row r="8" spans="1:9" x14ac:dyDescent="0.3">
      <c r="C8" s="4">
        <f>SUM(C3:C7)</f>
        <v>0.95000000000000007</v>
      </c>
      <c r="D8" s="4">
        <f>SUM(D3:D7)</f>
        <v>0.66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81F3-2090-4564-84CA-B9CC78E20E46}">
  <dimension ref="A1:I8"/>
  <sheetViews>
    <sheetView workbookViewId="0">
      <selection activeCell="H9" sqref="H9"/>
    </sheetView>
  </sheetViews>
  <sheetFormatPr defaultRowHeight="14.4" x14ac:dyDescent="0.3"/>
  <sheetData>
    <row r="1" spans="1:9" x14ac:dyDescent="0.3">
      <c r="A1" t="s">
        <v>153</v>
      </c>
      <c r="C1" s="30" t="s">
        <v>154</v>
      </c>
      <c r="D1" s="30"/>
      <c r="E1" s="30" t="s">
        <v>155</v>
      </c>
      <c r="F1" s="30"/>
    </row>
    <row r="2" spans="1:9" x14ac:dyDescent="0.3">
      <c r="A2" t="s">
        <v>49</v>
      </c>
      <c r="B2" t="s">
        <v>156</v>
      </c>
      <c r="C2" t="s">
        <v>157</v>
      </c>
      <c r="D2" t="s">
        <v>158</v>
      </c>
      <c r="E2" t="s">
        <v>51</v>
      </c>
      <c r="F2" t="s">
        <v>52</v>
      </c>
      <c r="G2" t="s">
        <v>53</v>
      </c>
      <c r="H2" t="s">
        <v>56</v>
      </c>
      <c r="I2" t="s">
        <v>54</v>
      </c>
    </row>
    <row r="3" spans="1:9" x14ac:dyDescent="0.3">
      <c r="A3" t="s">
        <v>25</v>
      </c>
      <c r="B3" t="s">
        <v>159</v>
      </c>
      <c r="C3" s="4">
        <v>0.12</v>
      </c>
      <c r="D3" s="4">
        <v>0.26</v>
      </c>
      <c r="E3" s="17">
        <f>C3/C$8</f>
        <v>0.14457831325301204</v>
      </c>
      <c r="F3" s="17">
        <f>D3/D$8</f>
        <v>0.48148148148148145</v>
      </c>
      <c r="G3">
        <f>1/4</f>
        <v>0.25</v>
      </c>
      <c r="H3">
        <v>0</v>
      </c>
      <c r="I3">
        <v>0</v>
      </c>
    </row>
    <row r="4" spans="1:9" x14ac:dyDescent="0.3">
      <c r="A4" t="s">
        <v>20</v>
      </c>
      <c r="B4" t="s">
        <v>160</v>
      </c>
      <c r="C4" s="4">
        <v>0.09</v>
      </c>
      <c r="D4" s="4">
        <v>0</v>
      </c>
      <c r="E4" s="17">
        <f>C4/C$8</f>
        <v>0.10843373493975902</v>
      </c>
      <c r="F4" s="17">
        <v>0</v>
      </c>
      <c r="G4">
        <v>0</v>
      </c>
      <c r="H4">
        <v>0</v>
      </c>
      <c r="I4">
        <v>0</v>
      </c>
    </row>
    <row r="5" spans="1:9" x14ac:dyDescent="0.3">
      <c r="A5" t="s">
        <v>11</v>
      </c>
      <c r="B5" t="s">
        <v>161</v>
      </c>
      <c r="C5" s="4">
        <v>0.09</v>
      </c>
      <c r="D5" s="4">
        <v>0.09</v>
      </c>
      <c r="E5" s="17">
        <f>C5/C$8</f>
        <v>0.10843373493975902</v>
      </c>
      <c r="F5" s="17">
        <f>D5/D$8</f>
        <v>0.16666666666666666</v>
      </c>
      <c r="G5">
        <f t="shared" ref="G5:G7" si="0">1/4</f>
        <v>0.25</v>
      </c>
      <c r="H5">
        <v>0</v>
      </c>
      <c r="I5">
        <v>0</v>
      </c>
    </row>
    <row r="6" spans="1:9" x14ac:dyDescent="0.3">
      <c r="A6" t="s">
        <v>7</v>
      </c>
      <c r="B6" t="s">
        <v>162</v>
      </c>
      <c r="C6" s="4">
        <v>0.53</v>
      </c>
      <c r="D6" s="4">
        <v>0.19</v>
      </c>
      <c r="E6" s="17">
        <f>C6/C$8</f>
        <v>0.63855421686746983</v>
      </c>
      <c r="F6" s="17">
        <f>D6/D$8</f>
        <v>0.35185185185185186</v>
      </c>
      <c r="G6">
        <f t="shared" si="0"/>
        <v>0.25</v>
      </c>
      <c r="H6">
        <v>0</v>
      </c>
      <c r="I6">
        <v>0</v>
      </c>
    </row>
    <row r="7" spans="1:9" x14ac:dyDescent="0.3">
      <c r="A7" t="s">
        <v>9</v>
      </c>
      <c r="B7" t="s">
        <v>163</v>
      </c>
      <c r="C7" s="4">
        <v>0</v>
      </c>
      <c r="D7" s="4">
        <v>0</v>
      </c>
      <c r="E7" s="17">
        <f>C7/C$8</f>
        <v>0</v>
      </c>
      <c r="F7" s="17">
        <f>D7/D$8</f>
        <v>0</v>
      </c>
      <c r="G7">
        <f t="shared" si="0"/>
        <v>0.25</v>
      </c>
      <c r="H7">
        <v>0</v>
      </c>
      <c r="I7">
        <v>0</v>
      </c>
    </row>
    <row r="8" spans="1:9" x14ac:dyDescent="0.3">
      <c r="C8" s="4">
        <f>SUM(C3:C7)</f>
        <v>0.83000000000000007</v>
      </c>
      <c r="D8" s="4">
        <f>SUM(D3:D7)</f>
        <v>0.54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7EF9-D12B-405C-B706-0DD897CCABCB}">
  <dimension ref="A1:P60"/>
  <sheetViews>
    <sheetView tabSelected="1" workbookViewId="0">
      <selection activeCell="F27" sqref="E24:F27"/>
    </sheetView>
  </sheetViews>
  <sheetFormatPr defaultRowHeight="14.4" x14ac:dyDescent="0.3"/>
  <sheetData>
    <row r="1" spans="1:16" x14ac:dyDescent="0.3">
      <c r="B1" t="s">
        <v>51</v>
      </c>
      <c r="C1" t="s">
        <v>53</v>
      </c>
      <c r="D1" t="s">
        <v>52</v>
      </c>
      <c r="E1" t="s">
        <v>56</v>
      </c>
      <c r="F1" t="s">
        <v>55</v>
      </c>
      <c r="G1" t="s">
        <v>54</v>
      </c>
    </row>
    <row r="2" spans="1:16" x14ac:dyDescent="0.3">
      <c r="A2" t="s">
        <v>51</v>
      </c>
      <c r="B2">
        <v>0</v>
      </c>
      <c r="C2">
        <v>9.7261953412341645E-2</v>
      </c>
      <c r="D2">
        <v>0.55905190028606455</v>
      </c>
      <c r="E2">
        <v>0.12709440130772373</v>
      </c>
      <c r="F2">
        <v>0.14957090314671026</v>
      </c>
      <c r="G2">
        <v>6.7020841847159784E-2</v>
      </c>
    </row>
    <row r="3" spans="1:16" x14ac:dyDescent="0.3">
      <c r="A3" t="s">
        <v>53</v>
      </c>
      <c r="B3">
        <v>0.27772600186393293</v>
      </c>
      <c r="C3">
        <v>0</v>
      </c>
      <c r="D3">
        <v>0.66076421248835038</v>
      </c>
      <c r="E3">
        <v>6.5237651444547996E-3</v>
      </c>
      <c r="F3">
        <v>1.5843429636533086E-2</v>
      </c>
      <c r="G3">
        <v>3.9142590866728798E-2</v>
      </c>
    </row>
    <row r="4" spans="1:16" x14ac:dyDescent="0.3">
      <c r="A4" t="s">
        <v>52</v>
      </c>
      <c r="B4">
        <v>0.54456018518518523</v>
      </c>
      <c r="C4">
        <v>0.19849537037037038</v>
      </c>
      <c r="D4">
        <v>0</v>
      </c>
      <c r="E4">
        <v>2.6041666666666668E-2</v>
      </c>
      <c r="F4">
        <v>0.15856481481481483</v>
      </c>
      <c r="G4">
        <v>7.2337962962962965E-2</v>
      </c>
    </row>
    <row r="5" spans="1:16" x14ac:dyDescent="0.3">
      <c r="A5" t="s">
        <v>56</v>
      </c>
      <c r="B5">
        <v>0.90683229813664601</v>
      </c>
      <c r="C5">
        <v>2.070393374741201E-3</v>
      </c>
      <c r="D5">
        <v>7.6604554865424432E-2</v>
      </c>
      <c r="E5">
        <v>0</v>
      </c>
      <c r="F5">
        <v>1.2422360248447204E-2</v>
      </c>
      <c r="G5">
        <v>2.070393374741201E-3</v>
      </c>
      <c r="J5">
        <v>438</v>
      </c>
      <c r="K5">
        <v>1</v>
      </c>
      <c r="L5">
        <v>37</v>
      </c>
      <c r="M5">
        <v>0</v>
      </c>
      <c r="N5">
        <v>6</v>
      </c>
      <c r="O5">
        <v>1</v>
      </c>
      <c r="P5">
        <f>SUM(J5:O5)</f>
        <v>483</v>
      </c>
    </row>
    <row r="6" spans="1:16" x14ac:dyDescent="0.3">
      <c r="A6" t="s">
        <v>55</v>
      </c>
      <c r="B6">
        <v>0.46357615894039733</v>
      </c>
      <c r="C6">
        <v>1.9867549668874173E-2</v>
      </c>
      <c r="D6">
        <v>0.48344370860927155</v>
      </c>
      <c r="E6">
        <v>2.2075055187637971E-2</v>
      </c>
      <c r="F6">
        <v>0</v>
      </c>
      <c r="G6">
        <v>1.1037527593818985E-2</v>
      </c>
      <c r="J6">
        <f>J5/$P$5</f>
        <v>0.90683229813664601</v>
      </c>
      <c r="K6">
        <f t="shared" ref="K6:O6" si="0">K5/$P$5</f>
        <v>2.070393374741201E-3</v>
      </c>
      <c r="L6">
        <f t="shared" si="0"/>
        <v>7.6604554865424432E-2</v>
      </c>
      <c r="M6">
        <f t="shared" si="0"/>
        <v>0</v>
      </c>
      <c r="N6">
        <f t="shared" si="0"/>
        <v>1.2422360248447204E-2</v>
      </c>
      <c r="O6">
        <f t="shared" si="0"/>
        <v>2.070393374741201E-3</v>
      </c>
    </row>
    <row r="7" spans="1:16" x14ac:dyDescent="0.3">
      <c r="A7" t="s">
        <v>54</v>
      </c>
      <c r="B7">
        <v>0.35335689045936397</v>
      </c>
      <c r="C7">
        <v>7.7738515901060068E-2</v>
      </c>
      <c r="D7">
        <v>0.52650176678445226</v>
      </c>
      <c r="E7">
        <v>7.0671378091872791E-3</v>
      </c>
      <c r="F7">
        <v>3.5335689045936397E-2</v>
      </c>
      <c r="G7">
        <v>0</v>
      </c>
    </row>
    <row r="10" spans="1:16" x14ac:dyDescent="0.3">
      <c r="A10" s="7" t="s">
        <v>113</v>
      </c>
      <c r="B10" s="6"/>
      <c r="C10" s="6"/>
      <c r="D10" s="6"/>
      <c r="E10" s="6"/>
      <c r="F10" s="6"/>
      <c r="I10" s="9" t="s">
        <v>114</v>
      </c>
      <c r="J10" s="9"/>
      <c r="K10" s="9"/>
      <c r="L10" s="8"/>
      <c r="M10" s="8"/>
      <c r="N10" s="8"/>
    </row>
    <row r="11" spans="1:16" x14ac:dyDescent="0.3">
      <c r="A11" s="6"/>
      <c r="B11" s="6" t="s">
        <v>51</v>
      </c>
      <c r="C11" s="6" t="s">
        <v>53</v>
      </c>
      <c r="D11" s="6" t="s">
        <v>52</v>
      </c>
      <c r="E11" s="6" t="s">
        <v>56</v>
      </c>
      <c r="F11" s="6" t="s">
        <v>54</v>
      </c>
      <c r="I11" s="8"/>
      <c r="J11" s="8" t="s">
        <v>51</v>
      </c>
      <c r="K11" s="8" t="s">
        <v>53</v>
      </c>
      <c r="L11" s="8" t="s">
        <v>52</v>
      </c>
      <c r="M11" s="8" t="s">
        <v>56</v>
      </c>
      <c r="N11" s="8" t="s">
        <v>54</v>
      </c>
    </row>
    <row r="12" spans="1:16" x14ac:dyDescent="0.3">
      <c r="A12" s="6" t="s">
        <v>51</v>
      </c>
      <c r="B12" s="6" t="s">
        <v>118</v>
      </c>
      <c r="C12" s="6">
        <v>238</v>
      </c>
      <c r="D12" s="6">
        <v>1368</v>
      </c>
      <c r="E12" s="6">
        <v>311</v>
      </c>
      <c r="F12" s="6">
        <v>164</v>
      </c>
      <c r="I12" s="8" t="s">
        <v>51</v>
      </c>
      <c r="J12" s="8">
        <v>0</v>
      </c>
      <c r="K12" s="8">
        <f>463*0.67</f>
        <v>310.21000000000004</v>
      </c>
      <c r="L12" s="8">
        <v>2100</v>
      </c>
      <c r="M12" s="8">
        <v>689</v>
      </c>
      <c r="N12" s="8">
        <f>463*0.23</f>
        <v>106.49000000000001</v>
      </c>
      <c r="O12">
        <f>SUM(J12:N12)</f>
        <v>3205.7</v>
      </c>
    </row>
    <row r="13" spans="1:16" x14ac:dyDescent="0.3">
      <c r="A13" s="6" t="s">
        <v>53</v>
      </c>
      <c r="B13" s="6">
        <v>298</v>
      </c>
      <c r="C13" s="6" t="s">
        <v>112</v>
      </c>
      <c r="D13" s="6">
        <v>709</v>
      </c>
      <c r="E13" s="6">
        <v>7</v>
      </c>
      <c r="F13" s="6">
        <v>42</v>
      </c>
      <c r="I13" s="8" t="s">
        <v>53</v>
      </c>
      <c r="J13" s="8">
        <f>417*0.67</f>
        <v>279.39000000000004</v>
      </c>
      <c r="K13" s="3">
        <v>240</v>
      </c>
      <c r="L13" s="8">
        <f>1060*0.75</f>
        <v>795</v>
      </c>
      <c r="M13" s="8">
        <v>3</v>
      </c>
      <c r="N13" s="3">
        <v>100</v>
      </c>
      <c r="O13">
        <f t="shared" ref="O13:O16" si="1">SUM(J13:N13)</f>
        <v>1417.39</v>
      </c>
    </row>
    <row r="14" spans="1:16" x14ac:dyDescent="0.3">
      <c r="A14" s="6" t="s">
        <v>52</v>
      </c>
      <c r="B14" s="6">
        <v>941</v>
      </c>
      <c r="C14" s="6">
        <v>343</v>
      </c>
      <c r="D14" s="6" t="s">
        <v>118</v>
      </c>
      <c r="E14" s="6">
        <v>45</v>
      </c>
      <c r="F14" s="6">
        <v>125</v>
      </c>
      <c r="I14" s="8" t="s">
        <v>52</v>
      </c>
      <c r="J14" s="8">
        <v>1500</v>
      </c>
      <c r="K14" s="8">
        <f>575*0.75</f>
        <v>431.25</v>
      </c>
      <c r="L14" s="8">
        <v>0</v>
      </c>
      <c r="M14" s="3">
        <v>40</v>
      </c>
      <c r="N14" s="8">
        <f>575*0.19</f>
        <v>109.25</v>
      </c>
      <c r="O14">
        <f t="shared" si="1"/>
        <v>2080.5</v>
      </c>
    </row>
    <row r="15" spans="1:16" x14ac:dyDescent="0.3">
      <c r="A15" s="6" t="s">
        <v>56</v>
      </c>
      <c r="B15" s="6">
        <v>438</v>
      </c>
      <c r="C15" s="6">
        <v>1</v>
      </c>
      <c r="D15" s="6">
        <v>37</v>
      </c>
      <c r="E15" s="6" t="s">
        <v>112</v>
      </c>
      <c r="F15" s="6">
        <v>1</v>
      </c>
      <c r="I15" s="8" t="s">
        <v>56</v>
      </c>
      <c r="J15" s="8">
        <v>880</v>
      </c>
      <c r="K15" s="3">
        <v>15</v>
      </c>
      <c r="L15" s="3">
        <v>80</v>
      </c>
      <c r="M15" s="8">
        <v>326</v>
      </c>
      <c r="N15" s="3">
        <v>3</v>
      </c>
      <c r="O15">
        <f t="shared" si="1"/>
        <v>1304</v>
      </c>
    </row>
    <row r="16" spans="1:16" x14ac:dyDescent="0.3">
      <c r="A16" s="6" t="s">
        <v>54</v>
      </c>
      <c r="B16" s="6">
        <v>100</v>
      </c>
      <c r="C16" s="6">
        <v>22</v>
      </c>
      <c r="D16" s="6">
        <v>149</v>
      </c>
      <c r="E16" s="6">
        <v>2</v>
      </c>
      <c r="F16" s="6" t="s">
        <v>118</v>
      </c>
      <c r="I16" s="8" t="s">
        <v>54</v>
      </c>
      <c r="J16" s="8">
        <f>417*0.23</f>
        <v>95.910000000000011</v>
      </c>
      <c r="K16" s="3">
        <v>140</v>
      </c>
      <c r="L16" s="8">
        <f>1060*0.19</f>
        <v>201.4</v>
      </c>
      <c r="M16" s="3">
        <v>3</v>
      </c>
      <c r="N16" s="8">
        <v>0</v>
      </c>
      <c r="O16">
        <f t="shared" si="1"/>
        <v>440.31000000000006</v>
      </c>
    </row>
    <row r="18" spans="1:12" x14ac:dyDescent="0.3">
      <c r="A18" s="5" t="s">
        <v>70</v>
      </c>
    </row>
    <row r="19" spans="1:12" x14ac:dyDescent="0.3">
      <c r="A19" t="s">
        <v>57</v>
      </c>
      <c r="E19" t="s">
        <v>61</v>
      </c>
      <c r="J19" t="s">
        <v>62</v>
      </c>
    </row>
    <row r="20" spans="1:12" x14ac:dyDescent="0.3">
      <c r="A20" t="s">
        <v>58</v>
      </c>
      <c r="C20" s="4">
        <v>0.56999999999999995</v>
      </c>
      <c r="E20" t="s">
        <v>58</v>
      </c>
      <c r="G20" s="4">
        <v>0.16</v>
      </c>
      <c r="J20" t="s">
        <v>169</v>
      </c>
      <c r="L20" s="4">
        <v>0.18</v>
      </c>
    </row>
    <row r="21" spans="1:12" x14ac:dyDescent="0.3">
      <c r="A21" t="s">
        <v>59</v>
      </c>
      <c r="C21" s="4">
        <v>0.19</v>
      </c>
      <c r="E21" t="s">
        <v>59</v>
      </c>
      <c r="G21" s="4">
        <v>0.24</v>
      </c>
      <c r="J21" t="s">
        <v>63</v>
      </c>
      <c r="L21" s="4">
        <v>0.16</v>
      </c>
    </row>
    <row r="22" spans="1:12" x14ac:dyDescent="0.3">
      <c r="A22" t="s">
        <v>60</v>
      </c>
      <c r="C22" s="4">
        <v>0.1</v>
      </c>
      <c r="E22" t="s">
        <v>60</v>
      </c>
      <c r="G22" s="4">
        <v>0.22</v>
      </c>
      <c r="J22" t="s">
        <v>64</v>
      </c>
      <c r="L22" s="4">
        <v>0.15</v>
      </c>
    </row>
    <row r="23" spans="1:12" x14ac:dyDescent="0.3">
      <c r="J23" t="s">
        <v>65</v>
      </c>
      <c r="L23" t="s">
        <v>112</v>
      </c>
    </row>
    <row r="24" spans="1:12" x14ac:dyDescent="0.3">
      <c r="A24" t="s">
        <v>66</v>
      </c>
      <c r="E24" t="s">
        <v>68</v>
      </c>
      <c r="J24" t="s">
        <v>110</v>
      </c>
    </row>
    <row r="25" spans="1:12" x14ac:dyDescent="0.3">
      <c r="A25" t="s">
        <v>67</v>
      </c>
      <c r="E25" t="s">
        <v>69</v>
      </c>
      <c r="J25" t="s">
        <v>109</v>
      </c>
    </row>
    <row r="27" spans="1:12" x14ac:dyDescent="0.3">
      <c r="A27" s="5" t="s">
        <v>71</v>
      </c>
    </row>
    <row r="28" spans="1:12" x14ac:dyDescent="0.3">
      <c r="A28" t="s">
        <v>72</v>
      </c>
    </row>
    <row r="29" spans="1:12" x14ac:dyDescent="0.3">
      <c r="A29" t="s">
        <v>73</v>
      </c>
      <c r="B29" s="4">
        <v>0.23</v>
      </c>
    </row>
    <row r="30" spans="1:12" x14ac:dyDescent="0.3">
      <c r="A30" t="s">
        <v>74</v>
      </c>
      <c r="B30" s="4">
        <v>0.13</v>
      </c>
    </row>
    <row r="31" spans="1:12" x14ac:dyDescent="0.3">
      <c r="A31" t="s">
        <v>75</v>
      </c>
      <c r="B31" s="4">
        <v>0.11</v>
      </c>
    </row>
    <row r="32" spans="1:12" x14ac:dyDescent="0.3">
      <c r="A32" t="s">
        <v>76</v>
      </c>
      <c r="B32" s="4">
        <v>0.09</v>
      </c>
    </row>
    <row r="33" spans="1:11" x14ac:dyDescent="0.3">
      <c r="A33" t="s">
        <v>77</v>
      </c>
      <c r="B33" s="4">
        <v>0.09</v>
      </c>
    </row>
    <row r="35" spans="1:11" x14ac:dyDescent="0.3">
      <c r="A35" t="s">
        <v>78</v>
      </c>
      <c r="E35" t="s">
        <v>80</v>
      </c>
    </row>
    <row r="36" spans="1:11" x14ac:dyDescent="0.3">
      <c r="A36" t="s">
        <v>79</v>
      </c>
      <c r="E36" t="s">
        <v>81</v>
      </c>
    </row>
    <row r="38" spans="1:11" x14ac:dyDescent="0.3">
      <c r="A38" s="5" t="s">
        <v>82</v>
      </c>
    </row>
    <row r="39" spans="1:11" x14ac:dyDescent="0.3">
      <c r="A39" t="s">
        <v>83</v>
      </c>
    </row>
    <row r="40" spans="1:11" x14ac:dyDescent="0.3">
      <c r="A40" t="s">
        <v>84</v>
      </c>
      <c r="C40" t="s">
        <v>115</v>
      </c>
      <c r="E40" t="s">
        <v>90</v>
      </c>
      <c r="G40" t="s">
        <v>117</v>
      </c>
      <c r="K40" t="s">
        <v>116</v>
      </c>
    </row>
    <row r="41" spans="1:11" x14ac:dyDescent="0.3">
      <c r="A41" t="s">
        <v>85</v>
      </c>
      <c r="C41" s="4">
        <v>0.53</v>
      </c>
      <c r="E41" t="s">
        <v>91</v>
      </c>
      <c r="G41" s="4">
        <v>0.82</v>
      </c>
    </row>
    <row r="42" spans="1:11" x14ac:dyDescent="0.3">
      <c r="A42" t="s">
        <v>86</v>
      </c>
      <c r="C42" s="4">
        <v>0.12</v>
      </c>
      <c r="E42" t="s">
        <v>92</v>
      </c>
      <c r="G42" s="4">
        <v>0.12</v>
      </c>
    </row>
    <row r="43" spans="1:11" x14ac:dyDescent="0.3">
      <c r="A43" t="s">
        <v>87</v>
      </c>
      <c r="C43" s="4">
        <v>0.09</v>
      </c>
      <c r="E43" t="s">
        <v>93</v>
      </c>
      <c r="G43" s="4">
        <v>0.04</v>
      </c>
    </row>
    <row r="44" spans="1:11" x14ac:dyDescent="0.3">
      <c r="A44" t="s">
        <v>88</v>
      </c>
      <c r="C44" s="4">
        <v>0.09</v>
      </c>
      <c r="E44" t="s">
        <v>94</v>
      </c>
      <c r="G44" s="4">
        <v>0.02</v>
      </c>
    </row>
    <row r="45" spans="1:11" x14ac:dyDescent="0.3">
      <c r="A45" t="s">
        <v>89</v>
      </c>
      <c r="C45" s="4">
        <v>0.08</v>
      </c>
    </row>
    <row r="47" spans="1:11" x14ac:dyDescent="0.3">
      <c r="A47" t="s">
        <v>95</v>
      </c>
      <c r="E47" t="s">
        <v>97</v>
      </c>
    </row>
    <row r="48" spans="1:11" x14ac:dyDescent="0.3">
      <c r="A48" t="s">
        <v>96</v>
      </c>
      <c r="E48" t="s">
        <v>98</v>
      </c>
    </row>
    <row r="50" spans="1:11" x14ac:dyDescent="0.3">
      <c r="A50" s="5" t="s">
        <v>99</v>
      </c>
    </row>
    <row r="51" spans="1:11" x14ac:dyDescent="0.3">
      <c r="A51" t="s">
        <v>100</v>
      </c>
    </row>
    <row r="52" spans="1:11" x14ac:dyDescent="0.3">
      <c r="A52" t="s">
        <v>101</v>
      </c>
      <c r="C52" t="s">
        <v>102</v>
      </c>
      <c r="F52" t="s">
        <v>103</v>
      </c>
      <c r="H52" t="s">
        <v>104</v>
      </c>
      <c r="K52" t="s">
        <v>116</v>
      </c>
    </row>
    <row r="53" spans="1:11" x14ac:dyDescent="0.3">
      <c r="A53" t="s">
        <v>89</v>
      </c>
      <c r="C53" s="4">
        <v>0.3</v>
      </c>
      <c r="F53" t="s">
        <v>91</v>
      </c>
      <c r="H53" s="4">
        <v>0.48</v>
      </c>
    </row>
    <row r="54" spans="1:11" x14ac:dyDescent="0.3">
      <c r="A54" t="s">
        <v>86</v>
      </c>
      <c r="C54" s="4">
        <v>0.26</v>
      </c>
      <c r="F54" t="s">
        <v>93</v>
      </c>
      <c r="H54" s="4">
        <v>0.2</v>
      </c>
    </row>
    <row r="55" spans="1:11" x14ac:dyDescent="0.3">
      <c r="A55" t="s">
        <v>85</v>
      </c>
      <c r="C55" s="4">
        <v>0.19</v>
      </c>
      <c r="F55" t="s">
        <v>94</v>
      </c>
      <c r="H55" s="4">
        <v>0.08</v>
      </c>
    </row>
    <row r="56" spans="1:11" x14ac:dyDescent="0.3">
      <c r="A56" t="s">
        <v>87</v>
      </c>
      <c r="C56" s="4">
        <v>0.09</v>
      </c>
    </row>
    <row r="57" spans="1:11" x14ac:dyDescent="0.3">
      <c r="A57" t="s">
        <v>88</v>
      </c>
      <c r="C57" s="4">
        <v>0.08</v>
      </c>
    </row>
    <row r="59" spans="1:11" x14ac:dyDescent="0.3">
      <c r="A59" t="s">
        <v>105</v>
      </c>
      <c r="E59" t="s">
        <v>106</v>
      </c>
      <c r="J59" t="s">
        <v>111</v>
      </c>
    </row>
    <row r="60" spans="1:11" x14ac:dyDescent="0.3">
      <c r="A60" t="s">
        <v>107</v>
      </c>
      <c r="E60" t="s">
        <v>108</v>
      </c>
      <c r="J60" t="s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2729-C598-4A65-B17A-3E340FE15CAB}">
  <dimension ref="A1:AH26"/>
  <sheetViews>
    <sheetView topLeftCell="O1" workbookViewId="0">
      <selection activeCell="AC18" sqref="AC18"/>
    </sheetView>
  </sheetViews>
  <sheetFormatPr defaultRowHeight="14.4" x14ac:dyDescent="0.3"/>
  <sheetData>
    <row r="1" spans="1:34" x14ac:dyDescent="0.3">
      <c r="A1" s="5" t="s">
        <v>129</v>
      </c>
    </row>
    <row r="2" spans="1:34" x14ac:dyDescent="0.3">
      <c r="A2" s="10" t="s">
        <v>132</v>
      </c>
      <c r="C2" s="31" t="s">
        <v>134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4" x14ac:dyDescent="0.3">
      <c r="A3" s="10" t="s">
        <v>130</v>
      </c>
      <c r="C3" s="31" t="s">
        <v>131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34" x14ac:dyDescent="0.3">
      <c r="A4" s="10" t="s">
        <v>133</v>
      </c>
      <c r="C4" s="31" t="s">
        <v>135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34" x14ac:dyDescent="0.3">
      <c r="A5" s="10" t="s">
        <v>126</v>
      </c>
      <c r="C5" s="31" t="s">
        <v>136</v>
      </c>
      <c r="D5" s="31"/>
      <c r="E5" s="31"/>
      <c r="F5" s="31"/>
      <c r="G5" s="31"/>
      <c r="H5" s="31"/>
      <c r="I5" s="31"/>
      <c r="J5" s="31"/>
    </row>
    <row r="8" spans="1:34" x14ac:dyDescent="0.3">
      <c r="A8" s="5" t="s">
        <v>119</v>
      </c>
      <c r="E8" s="5" t="s">
        <v>127</v>
      </c>
      <c r="J8" s="5" t="s">
        <v>141</v>
      </c>
      <c r="N8" s="5" t="s">
        <v>144</v>
      </c>
      <c r="S8" s="5" t="s">
        <v>147</v>
      </c>
      <c r="W8" s="5" t="s">
        <v>149</v>
      </c>
      <c r="AB8" s="5" t="s">
        <v>150</v>
      </c>
      <c r="AF8" s="5" t="s">
        <v>151</v>
      </c>
    </row>
    <row r="9" spans="1:34" x14ac:dyDescent="0.3">
      <c r="A9" t="s">
        <v>120</v>
      </c>
      <c r="C9" s="4">
        <v>0.83</v>
      </c>
      <c r="E9" t="s">
        <v>122</v>
      </c>
      <c r="G9" s="4">
        <v>0.2</v>
      </c>
      <c r="J9" t="s">
        <v>122</v>
      </c>
      <c r="L9" s="4">
        <v>0.21</v>
      </c>
      <c r="N9" t="s">
        <v>122</v>
      </c>
      <c r="P9" s="4">
        <v>0.26</v>
      </c>
      <c r="S9" t="s">
        <v>120</v>
      </c>
      <c r="U9" s="4">
        <v>0.78</v>
      </c>
      <c r="W9" t="s">
        <v>122</v>
      </c>
      <c r="Y9" s="4">
        <v>0.21</v>
      </c>
      <c r="AB9" t="s">
        <v>120</v>
      </c>
      <c r="AD9" s="4">
        <v>0.7</v>
      </c>
      <c r="AF9" t="s">
        <v>122</v>
      </c>
      <c r="AH9" s="4">
        <v>0.3</v>
      </c>
    </row>
    <row r="10" spans="1:34" x14ac:dyDescent="0.3">
      <c r="A10" t="s">
        <v>121</v>
      </c>
      <c r="C10" s="4">
        <v>0.08</v>
      </c>
      <c r="E10" t="s">
        <v>125</v>
      </c>
      <c r="G10" s="4">
        <v>0.18</v>
      </c>
      <c r="J10" t="s">
        <v>125</v>
      </c>
      <c r="L10" s="4">
        <v>0.2</v>
      </c>
      <c r="N10" t="s">
        <v>125</v>
      </c>
      <c r="P10" s="4">
        <v>0.13</v>
      </c>
      <c r="S10" t="s">
        <v>122</v>
      </c>
      <c r="U10" s="4">
        <v>0.06</v>
      </c>
      <c r="W10" t="s">
        <v>125</v>
      </c>
      <c r="Y10" s="4">
        <v>0.15</v>
      </c>
      <c r="AB10" t="s">
        <v>122</v>
      </c>
      <c r="AD10" s="4">
        <v>0.08</v>
      </c>
      <c r="AF10" t="s">
        <v>125</v>
      </c>
      <c r="AH10" s="4">
        <v>0.18</v>
      </c>
    </row>
    <row r="11" spans="1:34" x14ac:dyDescent="0.3">
      <c r="A11" t="s">
        <v>122</v>
      </c>
      <c r="C11" s="4">
        <v>0.02</v>
      </c>
      <c r="E11" t="s">
        <v>128</v>
      </c>
      <c r="G11" s="4">
        <v>0.13</v>
      </c>
      <c r="J11" t="s">
        <v>142</v>
      </c>
      <c r="L11" s="4">
        <v>0.14000000000000001</v>
      </c>
      <c r="N11" t="s">
        <v>142</v>
      </c>
      <c r="P11" s="4">
        <v>0.13</v>
      </c>
      <c r="S11" t="s">
        <v>121</v>
      </c>
      <c r="U11" s="4">
        <v>0.05</v>
      </c>
      <c r="W11" s="3" t="s">
        <v>148</v>
      </c>
      <c r="X11" s="3"/>
      <c r="Y11" s="16">
        <v>7.0000000000000007E-2</v>
      </c>
      <c r="AB11" t="s">
        <v>142</v>
      </c>
      <c r="AD11" s="4">
        <v>0.06</v>
      </c>
      <c r="AF11" t="s">
        <v>137</v>
      </c>
      <c r="AH11" s="4">
        <v>0.13</v>
      </c>
    </row>
    <row r="12" spans="1:34" x14ac:dyDescent="0.3">
      <c r="A12" t="s">
        <v>123</v>
      </c>
      <c r="C12" s="4">
        <v>0.02</v>
      </c>
      <c r="E12" t="s">
        <v>120</v>
      </c>
      <c r="G12" s="4">
        <v>0.12</v>
      </c>
      <c r="J12" t="s">
        <v>137</v>
      </c>
      <c r="L12" s="4">
        <v>0.11</v>
      </c>
      <c r="N12" t="s">
        <v>137</v>
      </c>
      <c r="P12" s="4">
        <v>0.09</v>
      </c>
      <c r="S12" t="s">
        <v>137</v>
      </c>
      <c r="U12" s="4">
        <v>0.03</v>
      </c>
      <c r="W12" t="s">
        <v>123</v>
      </c>
      <c r="Y12" s="4">
        <v>7.0000000000000007E-2</v>
      </c>
      <c r="AB12" t="s">
        <v>123</v>
      </c>
      <c r="AD12" s="4">
        <v>0.03</v>
      </c>
      <c r="AF12" t="s">
        <v>142</v>
      </c>
      <c r="AH12" s="4">
        <v>0.11</v>
      </c>
    </row>
    <row r="13" spans="1:34" x14ac:dyDescent="0.3">
      <c r="A13" t="s">
        <v>124</v>
      </c>
      <c r="C13" s="4">
        <v>0.01</v>
      </c>
      <c r="E13" t="s">
        <v>137</v>
      </c>
      <c r="G13" s="4">
        <v>0.09</v>
      </c>
      <c r="J13" t="s">
        <v>121</v>
      </c>
      <c r="L13" s="4">
        <v>0.08</v>
      </c>
      <c r="N13" s="3" t="s">
        <v>145</v>
      </c>
      <c r="O13" s="3"/>
      <c r="P13" s="16">
        <v>0.08</v>
      </c>
      <c r="S13" t="s">
        <v>125</v>
      </c>
      <c r="U13" s="4">
        <v>0.02</v>
      </c>
      <c r="W13" t="s">
        <v>121</v>
      </c>
      <c r="Y13" s="4">
        <v>7.0000000000000007E-2</v>
      </c>
      <c r="AB13" t="s">
        <v>137</v>
      </c>
      <c r="AD13" s="4">
        <v>0.03</v>
      </c>
      <c r="AF13" s="3" t="s">
        <v>152</v>
      </c>
      <c r="AG13" s="3"/>
      <c r="AH13" s="16">
        <v>0.06</v>
      </c>
    </row>
    <row r="14" spans="1:34" x14ac:dyDescent="0.3">
      <c r="A14" t="s">
        <v>125</v>
      </c>
      <c r="C14" s="4">
        <v>0.01</v>
      </c>
      <c r="E14" t="s">
        <v>121</v>
      </c>
      <c r="G14" s="4">
        <v>0.06</v>
      </c>
      <c r="J14" t="s">
        <v>143</v>
      </c>
      <c r="L14" s="4">
        <v>0.06</v>
      </c>
      <c r="N14" t="s">
        <v>146</v>
      </c>
      <c r="P14" s="4">
        <v>0.06</v>
      </c>
      <c r="S14" t="s">
        <v>123</v>
      </c>
      <c r="U14" s="4">
        <v>0.01</v>
      </c>
      <c r="W14" t="s">
        <v>120</v>
      </c>
      <c r="Y14" s="4">
        <v>0.06</v>
      </c>
      <c r="AB14" t="s">
        <v>125</v>
      </c>
      <c r="AD14" s="4">
        <v>0.02</v>
      </c>
      <c r="AF14" t="s">
        <v>121</v>
      </c>
      <c r="AH14" s="4">
        <v>0.05</v>
      </c>
    </row>
    <row r="15" spans="1:34" x14ac:dyDescent="0.3">
      <c r="A15" t="s">
        <v>140</v>
      </c>
      <c r="C15" s="4">
        <v>0.03</v>
      </c>
      <c r="E15" t="s">
        <v>138</v>
      </c>
      <c r="G15" s="4">
        <v>0.04</v>
      </c>
      <c r="J15" t="s">
        <v>140</v>
      </c>
      <c r="L15" s="4">
        <v>0.2</v>
      </c>
      <c r="N15" t="s">
        <v>140</v>
      </c>
      <c r="P15" s="4">
        <v>0.25</v>
      </c>
      <c r="S15" s="3" t="s">
        <v>148</v>
      </c>
      <c r="T15" s="3"/>
      <c r="U15" s="16">
        <v>0.01</v>
      </c>
      <c r="W15" t="s">
        <v>137</v>
      </c>
      <c r="Y15" s="4">
        <v>0.05</v>
      </c>
      <c r="AB15" t="s">
        <v>140</v>
      </c>
      <c r="AD15" s="4">
        <v>0.08</v>
      </c>
      <c r="AF15" t="s">
        <v>120</v>
      </c>
      <c r="AH15" s="4">
        <v>0.05</v>
      </c>
    </row>
    <row r="16" spans="1:34" x14ac:dyDescent="0.3">
      <c r="E16" t="s">
        <v>139</v>
      </c>
      <c r="G16" s="4">
        <v>0.18</v>
      </c>
      <c r="S16" t="s">
        <v>140</v>
      </c>
      <c r="U16" s="4">
        <v>0.04</v>
      </c>
      <c r="W16" t="s">
        <v>138</v>
      </c>
      <c r="Y16" s="4">
        <v>0.02</v>
      </c>
      <c r="AF16" t="s">
        <v>140</v>
      </c>
      <c r="AH16" s="4">
        <v>0.12</v>
      </c>
    </row>
    <row r="17" spans="1:34" x14ac:dyDescent="0.3">
      <c r="W17" t="s">
        <v>140</v>
      </c>
      <c r="Y17" s="16">
        <v>0.28999999999999998</v>
      </c>
      <c r="Z17" s="16">
        <v>0.3</v>
      </c>
      <c r="AA17" s="4"/>
      <c r="AB17" s="4"/>
      <c r="AC17" s="4"/>
      <c r="AD17" s="4"/>
    </row>
    <row r="18" spans="1:34" x14ac:dyDescent="0.3">
      <c r="A18" s="14" t="s">
        <v>132</v>
      </c>
      <c r="B18" s="8"/>
      <c r="C18" s="15">
        <f>C14</f>
        <v>0.01</v>
      </c>
      <c r="D18" s="8"/>
      <c r="E18" s="14" t="s">
        <v>132</v>
      </c>
      <c r="F18" s="8"/>
      <c r="G18" s="15">
        <f>G10</f>
        <v>0.18</v>
      </c>
      <c r="J18" s="14" t="s">
        <v>132</v>
      </c>
      <c r="K18" s="8"/>
      <c r="L18" s="15">
        <f>L10</f>
        <v>0.2</v>
      </c>
      <c r="M18" s="8"/>
      <c r="N18" s="14" t="s">
        <v>132</v>
      </c>
      <c r="O18" s="8"/>
      <c r="P18" s="15">
        <f>P10</f>
        <v>0.13</v>
      </c>
      <c r="S18" s="14" t="s">
        <v>132</v>
      </c>
      <c r="T18" s="8"/>
      <c r="U18" s="15">
        <f>U13</f>
        <v>0.02</v>
      </c>
      <c r="V18" s="8"/>
      <c r="W18" s="14" t="s">
        <v>132</v>
      </c>
      <c r="X18" s="8"/>
      <c r="Y18" s="15">
        <f>Y10</f>
        <v>0.15</v>
      </c>
      <c r="AB18" s="14" t="s">
        <v>132</v>
      </c>
      <c r="AC18" s="8"/>
      <c r="AD18" s="15">
        <f>AD14</f>
        <v>0.02</v>
      </c>
      <c r="AE18" s="8"/>
      <c r="AF18" s="14" t="s">
        <v>132</v>
      </c>
      <c r="AG18" s="8"/>
      <c r="AH18" s="15">
        <f>AH10</f>
        <v>0.18</v>
      </c>
    </row>
    <row r="19" spans="1:34" x14ac:dyDescent="0.3">
      <c r="A19" s="14" t="s">
        <v>130</v>
      </c>
      <c r="B19" s="8"/>
      <c r="C19" s="15">
        <f>C9</f>
        <v>0.83</v>
      </c>
      <c r="D19" s="8"/>
      <c r="E19" s="14" t="s">
        <v>130</v>
      </c>
      <c r="F19" s="8"/>
      <c r="G19" s="15">
        <f>G12</f>
        <v>0.12</v>
      </c>
      <c r="J19" s="14" t="s">
        <v>130</v>
      </c>
      <c r="K19" s="8"/>
      <c r="L19" s="15">
        <f>L14</f>
        <v>0.06</v>
      </c>
      <c r="M19" s="8"/>
      <c r="N19" s="14" t="s">
        <v>130</v>
      </c>
      <c r="O19" s="8"/>
      <c r="P19" s="16">
        <f>P13</f>
        <v>0.08</v>
      </c>
      <c r="S19" s="14" t="s">
        <v>130</v>
      </c>
      <c r="T19" s="8"/>
      <c r="U19" s="15">
        <f>U9</f>
        <v>0.78</v>
      </c>
      <c r="V19" s="8"/>
      <c r="W19" s="14" t="s">
        <v>130</v>
      </c>
      <c r="X19" s="8"/>
      <c r="Y19" s="15">
        <f>Y14</f>
        <v>0.06</v>
      </c>
      <c r="AB19" s="14" t="s">
        <v>130</v>
      </c>
      <c r="AC19" s="8"/>
      <c r="AD19" s="15">
        <f>AD9</f>
        <v>0.7</v>
      </c>
      <c r="AE19" s="8"/>
      <c r="AF19" s="14" t="s">
        <v>130</v>
      </c>
      <c r="AG19" s="8"/>
      <c r="AH19" s="15">
        <f>AH15</f>
        <v>0.05</v>
      </c>
    </row>
    <row r="20" spans="1:34" x14ac:dyDescent="0.3">
      <c r="A20" s="14" t="s">
        <v>133</v>
      </c>
      <c r="B20" s="8"/>
      <c r="C20" s="15">
        <f>C11+C10</f>
        <v>0.1</v>
      </c>
      <c r="D20" s="8"/>
      <c r="E20" s="14" t="s">
        <v>133</v>
      </c>
      <c r="F20" s="8"/>
      <c r="G20" s="15">
        <f>G9+G13+G14</f>
        <v>0.35000000000000003</v>
      </c>
      <c r="J20" s="14" t="s">
        <v>133</v>
      </c>
      <c r="K20" s="8"/>
      <c r="L20" s="15">
        <f>L9+L12+L13</f>
        <v>0.4</v>
      </c>
      <c r="M20" s="8"/>
      <c r="N20" s="14" t="s">
        <v>133</v>
      </c>
      <c r="O20" s="8"/>
      <c r="P20" s="15">
        <f>P9+P12</f>
        <v>0.35</v>
      </c>
      <c r="S20" s="14" t="s">
        <v>133</v>
      </c>
      <c r="T20" s="8"/>
      <c r="U20" s="16">
        <f>U10+U11+U12+U15</f>
        <v>0.15000000000000002</v>
      </c>
      <c r="V20" s="8"/>
      <c r="W20" s="14" t="s">
        <v>133</v>
      </c>
      <c r="X20" s="8"/>
      <c r="Y20" s="16">
        <f>Y9+Y11+Y13+Y15</f>
        <v>0.4</v>
      </c>
      <c r="AB20" s="14" t="s">
        <v>133</v>
      </c>
      <c r="AC20" s="8"/>
      <c r="AD20" s="15">
        <f>AD10+AD13</f>
        <v>0.11</v>
      </c>
      <c r="AE20" s="8"/>
      <c r="AF20" s="14" t="s">
        <v>133</v>
      </c>
      <c r="AG20" s="8"/>
      <c r="AH20" s="16">
        <f>AH9+AH11+AH13+AH14</f>
        <v>0.54</v>
      </c>
    </row>
    <row r="21" spans="1:34" x14ac:dyDescent="0.3">
      <c r="A21" s="14" t="s">
        <v>126</v>
      </c>
      <c r="B21" s="8"/>
      <c r="C21" s="15">
        <f>C15+C13+C12</f>
        <v>0.06</v>
      </c>
      <c r="D21" s="8"/>
      <c r="E21" s="14" t="s">
        <v>126</v>
      </c>
      <c r="F21" s="8"/>
      <c r="G21" s="15">
        <f>G16+G15+G11</f>
        <v>0.35</v>
      </c>
      <c r="J21" s="14" t="s">
        <v>126</v>
      </c>
      <c r="K21" s="8"/>
      <c r="L21" s="15">
        <f>L11+L15</f>
        <v>0.34</v>
      </c>
      <c r="M21" s="8"/>
      <c r="N21" s="14" t="s">
        <v>126</v>
      </c>
      <c r="O21" s="8"/>
      <c r="P21" s="15">
        <f>P11+P15+P14</f>
        <v>0.44</v>
      </c>
      <c r="S21" s="14" t="s">
        <v>126</v>
      </c>
      <c r="T21" s="8"/>
      <c r="U21" s="15">
        <f>U16+U14</f>
        <v>0.05</v>
      </c>
      <c r="V21" s="8"/>
      <c r="W21" s="14" t="s">
        <v>126</v>
      </c>
      <c r="X21" s="8"/>
      <c r="Y21" s="16">
        <f>Z17+Y16+Y12</f>
        <v>0.39</v>
      </c>
      <c r="AB21" s="14" t="s">
        <v>126</v>
      </c>
      <c r="AC21" s="8"/>
      <c r="AD21" s="15">
        <f>AD15+AD11+AD12</f>
        <v>0.17</v>
      </c>
      <c r="AE21" s="8"/>
      <c r="AF21" s="14" t="s">
        <v>126</v>
      </c>
      <c r="AG21" s="8"/>
      <c r="AH21" s="15">
        <f>AH12+AH16</f>
        <v>0.22999999999999998</v>
      </c>
    </row>
    <row r="23" spans="1:34" x14ac:dyDescent="0.3">
      <c r="A23" s="12" t="s">
        <v>132</v>
      </c>
      <c r="B23" s="13"/>
      <c r="C23" s="13">
        <v>1.7000000000000001E-2</v>
      </c>
      <c r="D23" s="13"/>
      <c r="E23" s="12" t="s">
        <v>132</v>
      </c>
      <c r="F23" s="13"/>
      <c r="G23" s="13">
        <v>0.13600000000000001</v>
      </c>
      <c r="J23" s="12" t="s">
        <v>132</v>
      </c>
      <c r="K23" s="13"/>
      <c r="L23" s="13">
        <v>0.2</v>
      </c>
      <c r="M23" s="13"/>
      <c r="N23" s="12" t="s">
        <v>132</v>
      </c>
      <c r="O23" s="13"/>
      <c r="P23" s="13">
        <v>0.13</v>
      </c>
      <c r="S23" s="12" t="s">
        <v>132</v>
      </c>
      <c r="T23" s="13"/>
      <c r="U23" s="13">
        <v>3.5000000000000003E-2</v>
      </c>
      <c r="V23" s="13"/>
      <c r="W23" s="12" t="s">
        <v>132</v>
      </c>
      <c r="X23" s="13"/>
      <c r="Y23" s="13">
        <v>0.13600000000000001</v>
      </c>
      <c r="AB23" s="12" t="s">
        <v>132</v>
      </c>
      <c r="AC23" s="13"/>
      <c r="AD23" s="13">
        <v>2.5999999999999999E-2</v>
      </c>
      <c r="AE23" s="13"/>
      <c r="AF23" s="12" t="s">
        <v>132</v>
      </c>
      <c r="AG23" s="13"/>
      <c r="AH23" s="13">
        <v>0.16800000000000001</v>
      </c>
    </row>
    <row r="24" spans="1:34" x14ac:dyDescent="0.3">
      <c r="A24" s="12" t="s">
        <v>130</v>
      </c>
      <c r="B24" s="13"/>
      <c r="C24" s="13">
        <v>0.89400000000000002</v>
      </c>
      <c r="D24" s="13"/>
      <c r="E24" s="12" t="s">
        <v>130</v>
      </c>
      <c r="F24" s="13"/>
      <c r="G24" s="13">
        <v>0.40899999999999997</v>
      </c>
      <c r="J24" s="12" t="s">
        <v>130</v>
      </c>
      <c r="K24" s="13"/>
      <c r="L24" s="13">
        <v>0.05</v>
      </c>
      <c r="M24" s="13"/>
      <c r="N24" s="12" t="s">
        <v>130</v>
      </c>
      <c r="O24" s="13"/>
      <c r="P24" s="13">
        <v>0.08</v>
      </c>
      <c r="S24" s="12" t="s">
        <v>130</v>
      </c>
      <c r="T24" s="13"/>
      <c r="U24" s="13">
        <v>0.79400000000000004</v>
      </c>
      <c r="V24" s="13"/>
      <c r="W24" s="12" t="s">
        <v>130</v>
      </c>
      <c r="X24" s="13"/>
      <c r="Y24" s="13">
        <v>0.223</v>
      </c>
      <c r="AB24" s="12" t="s">
        <v>130</v>
      </c>
      <c r="AC24" s="13"/>
      <c r="AD24" s="13">
        <v>0.71</v>
      </c>
      <c r="AE24" s="13"/>
      <c r="AF24" s="12" t="s">
        <v>130</v>
      </c>
      <c r="AG24" s="13"/>
      <c r="AH24" s="13">
        <v>9.5000000000000001E-2</v>
      </c>
    </row>
    <row r="25" spans="1:34" x14ac:dyDescent="0.3">
      <c r="A25" s="12" t="s">
        <v>133</v>
      </c>
      <c r="B25" s="13"/>
      <c r="C25" s="13">
        <v>4.2000000000000003E-2</v>
      </c>
      <c r="D25" s="13"/>
      <c r="E25" s="12" t="s">
        <v>133</v>
      </c>
      <c r="F25" s="13"/>
      <c r="G25" s="13">
        <v>0.21199999999999999</v>
      </c>
      <c r="J25" s="12" t="s">
        <v>133</v>
      </c>
      <c r="K25" s="13"/>
      <c r="L25" s="13">
        <v>0.49</v>
      </c>
      <c r="M25" s="13"/>
      <c r="N25" s="12" t="s">
        <v>133</v>
      </c>
      <c r="O25" s="13"/>
      <c r="P25" s="13">
        <v>0.42</v>
      </c>
      <c r="S25" s="12" t="s">
        <v>133</v>
      </c>
      <c r="T25" s="13"/>
      <c r="U25" s="13">
        <v>6.8000000000000005E-2</v>
      </c>
      <c r="V25" s="13"/>
      <c r="W25" s="12" t="s">
        <v>133</v>
      </c>
      <c r="X25" s="13"/>
      <c r="Y25" s="13">
        <v>0.22</v>
      </c>
      <c r="AB25" s="12" t="s">
        <v>133</v>
      </c>
      <c r="AC25" s="13"/>
      <c r="AD25" s="13">
        <v>6.8000000000000005E-2</v>
      </c>
      <c r="AE25" s="13"/>
      <c r="AF25" s="12" t="s">
        <v>133</v>
      </c>
      <c r="AG25" s="13"/>
      <c r="AH25" s="13">
        <v>0.52</v>
      </c>
    </row>
    <row r="26" spans="1:34" x14ac:dyDescent="0.3">
      <c r="A26" s="12" t="s">
        <v>126</v>
      </c>
      <c r="B26" s="13"/>
      <c r="C26" s="13">
        <v>4.7E-2</v>
      </c>
      <c r="D26" s="13"/>
      <c r="E26" s="12" t="s">
        <v>126</v>
      </c>
      <c r="F26" s="13"/>
      <c r="G26" s="13">
        <v>0.24299999999999999</v>
      </c>
      <c r="J26" s="12" t="s">
        <v>126</v>
      </c>
      <c r="K26" s="13"/>
      <c r="L26" s="13">
        <v>0.26</v>
      </c>
      <c r="M26" s="13"/>
      <c r="N26" s="12" t="s">
        <v>126</v>
      </c>
      <c r="O26" s="13"/>
      <c r="P26" s="13">
        <v>0.37</v>
      </c>
      <c r="S26" s="12" t="s">
        <v>126</v>
      </c>
      <c r="T26" s="13"/>
      <c r="U26" s="13">
        <v>9.8000000000000004E-2</v>
      </c>
      <c r="V26" s="13"/>
      <c r="W26" s="12" t="s">
        <v>126</v>
      </c>
      <c r="X26" s="13"/>
      <c r="Y26" s="13">
        <v>0.41599999999999998</v>
      </c>
      <c r="AB26" s="12" t="s">
        <v>126</v>
      </c>
      <c r="AC26" s="13"/>
      <c r="AD26" s="13">
        <v>0.19600000000000001</v>
      </c>
      <c r="AE26" s="13"/>
      <c r="AF26" s="12" t="s">
        <v>126</v>
      </c>
      <c r="AG26" s="13"/>
      <c r="AH26" s="13">
        <v>0.217</v>
      </c>
    </row>
  </sheetData>
  <mergeCells count="4">
    <mergeCell ref="C3:R3"/>
    <mergeCell ref="C2:U2"/>
    <mergeCell ref="C4:Q4"/>
    <mergeCell ref="C5:J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ECF2-183B-47CE-85E8-95E6DAA15404}">
  <dimension ref="A1:AF67"/>
  <sheetViews>
    <sheetView topLeftCell="A44" zoomScaleNormal="100" workbookViewId="0">
      <selection activeCell="G70" sqref="G70"/>
    </sheetView>
  </sheetViews>
  <sheetFormatPr defaultRowHeight="14.4" x14ac:dyDescent="0.3"/>
  <cols>
    <col min="5" max="5" width="16.109375" bestFit="1" customWidth="1"/>
    <col min="11" max="11" width="10" bestFit="1" customWidth="1"/>
  </cols>
  <sheetData>
    <row r="1" spans="1:32" x14ac:dyDescent="0.3">
      <c r="A1" t="s">
        <v>206</v>
      </c>
    </row>
    <row r="2" spans="1:32" x14ac:dyDescent="0.3">
      <c r="A2" t="s">
        <v>70</v>
      </c>
      <c r="D2" s="11" t="s">
        <v>155</v>
      </c>
      <c r="E2" s="11"/>
      <c r="U2" s="11"/>
      <c r="V2" s="11"/>
    </row>
    <row r="3" spans="1:32" x14ac:dyDescent="0.3">
      <c r="A3" t="s">
        <v>49</v>
      </c>
      <c r="B3" t="s">
        <v>156</v>
      </c>
      <c r="C3" t="s">
        <v>164</v>
      </c>
      <c r="E3" t="s">
        <v>51</v>
      </c>
      <c r="F3" t="s">
        <v>52</v>
      </c>
      <c r="G3" t="s">
        <v>53</v>
      </c>
      <c r="H3" t="s">
        <v>56</v>
      </c>
      <c r="I3" t="s">
        <v>54</v>
      </c>
      <c r="K3" t="s">
        <v>51</v>
      </c>
      <c r="L3" t="s">
        <v>52</v>
      </c>
      <c r="M3" t="s">
        <v>53</v>
      </c>
      <c r="N3" t="s">
        <v>56</v>
      </c>
      <c r="O3" t="s">
        <v>54</v>
      </c>
    </row>
    <row r="4" spans="1:32" x14ac:dyDescent="0.3">
      <c r="A4" t="s">
        <v>35</v>
      </c>
      <c r="B4" t="s">
        <v>165</v>
      </c>
      <c r="C4" s="4">
        <v>0.16</v>
      </c>
      <c r="E4" s="17">
        <f>$C$4/$C$8</f>
        <v>0.27118644067796605</v>
      </c>
      <c r="F4" s="17">
        <v>0</v>
      </c>
      <c r="G4" s="17">
        <v>0</v>
      </c>
      <c r="H4" s="17">
        <v>0</v>
      </c>
      <c r="I4" s="17">
        <v>0</v>
      </c>
      <c r="K4" s="20">
        <f>E4*demand!$E$2</f>
        <v>9.762711864406777E-2</v>
      </c>
      <c r="L4" s="20">
        <f>F4*demand!$E$4</f>
        <v>0</v>
      </c>
      <c r="M4" s="20">
        <f>G4*demand!$E$3</f>
        <v>0</v>
      </c>
      <c r="N4" s="20">
        <f>H4*demand!$E$5</f>
        <v>0</v>
      </c>
      <c r="O4" s="20">
        <f>I4*demand!$E$6</f>
        <v>0</v>
      </c>
      <c r="T4" s="4"/>
      <c r="V4" s="17"/>
      <c r="W4" s="17"/>
      <c r="X4" s="17"/>
      <c r="Y4" s="17"/>
      <c r="Z4" s="17"/>
      <c r="AB4" s="20"/>
      <c r="AC4" s="20"/>
      <c r="AD4" s="20"/>
      <c r="AE4" s="20"/>
      <c r="AF4" s="20"/>
    </row>
    <row r="5" spans="1:32" x14ac:dyDescent="0.3">
      <c r="A5" t="s">
        <v>44</v>
      </c>
      <c r="B5" t="s">
        <v>166</v>
      </c>
      <c r="C5" s="4">
        <v>0.1</v>
      </c>
      <c r="D5" s="4">
        <v>0.1</v>
      </c>
      <c r="E5" s="17">
        <f>$C$5/$C$8</f>
        <v>0.16949152542372881</v>
      </c>
      <c r="F5" s="17">
        <f>$D$5/$D$8</f>
        <v>0.23255813953488375</v>
      </c>
      <c r="G5" s="17">
        <f>$D$5/$D$8</f>
        <v>0.23255813953488375</v>
      </c>
      <c r="H5" s="17">
        <f>$D$5/$D$8</f>
        <v>0.23255813953488375</v>
      </c>
      <c r="I5" s="17">
        <f>$D$5/$D$8</f>
        <v>0.23255813953488375</v>
      </c>
      <c r="K5" s="20">
        <f>E5*demand!$E$2</f>
        <v>6.1016949152542369E-2</v>
      </c>
      <c r="L5" s="20">
        <f>F5*demand!$E$4</f>
        <v>6.9767441860465124E-3</v>
      </c>
      <c r="M5" s="20">
        <f>G5*demand!$E$3</f>
        <v>1.1627906976744188E-3</v>
      </c>
      <c r="N5" s="20">
        <f>H5*demand!$E$5</f>
        <v>0.05</v>
      </c>
      <c r="O5" s="20">
        <f>I5*demand!$E$6</f>
        <v>2.3255813953488376E-3</v>
      </c>
      <c r="T5" s="4"/>
      <c r="U5" s="4"/>
      <c r="V5" s="17"/>
      <c r="W5" s="17"/>
      <c r="X5" s="17"/>
      <c r="Y5" s="17"/>
      <c r="Z5" s="17"/>
      <c r="AB5" s="20"/>
      <c r="AC5" s="20"/>
      <c r="AD5" s="20"/>
      <c r="AE5" s="20"/>
      <c r="AF5" s="20"/>
    </row>
    <row r="6" spans="1:32" x14ac:dyDescent="0.3">
      <c r="A6" t="s">
        <v>41</v>
      </c>
      <c r="B6" t="s">
        <v>167</v>
      </c>
      <c r="C6" s="4">
        <v>0.15</v>
      </c>
      <c r="D6" s="4">
        <v>0.15</v>
      </c>
      <c r="E6" s="17">
        <f>$C$6/$C$8</f>
        <v>0.25423728813559315</v>
      </c>
      <c r="F6" s="17">
        <f>$D$6/$D$8</f>
        <v>0.34883720930232559</v>
      </c>
      <c r="G6" s="17">
        <f>$D$6/$D$8</f>
        <v>0.34883720930232559</v>
      </c>
      <c r="H6" s="17">
        <f>$D$6/$D$8</f>
        <v>0.34883720930232559</v>
      </c>
      <c r="I6" s="17">
        <f>$D$6/$D$8</f>
        <v>0.34883720930232559</v>
      </c>
      <c r="K6" s="20">
        <f>E6*demand!$E$2</f>
        <v>9.1525423728813532E-2</v>
      </c>
      <c r="L6" s="20">
        <f>F6*demand!$E$4</f>
        <v>1.0465116279069767E-2</v>
      </c>
      <c r="M6" s="20">
        <f>G6*demand!$E$3</f>
        <v>1.7441860465116279E-3</v>
      </c>
      <c r="N6" s="20">
        <f>H6*demand!$E$5</f>
        <v>7.4999999999999997E-2</v>
      </c>
      <c r="O6" s="20">
        <f>I6*demand!$E$6</f>
        <v>3.4883720930232558E-3</v>
      </c>
      <c r="T6" s="4"/>
      <c r="U6" s="4"/>
      <c r="V6" s="17"/>
      <c r="W6" s="17"/>
      <c r="X6" s="17"/>
      <c r="Y6" s="17"/>
      <c r="Z6" s="17"/>
      <c r="AB6" s="20"/>
      <c r="AC6" s="20"/>
      <c r="AD6" s="20"/>
      <c r="AE6" s="20"/>
      <c r="AF6" s="20"/>
    </row>
    <row r="7" spans="1:32" x14ac:dyDescent="0.3">
      <c r="A7" t="s">
        <v>37</v>
      </c>
      <c r="B7" t="s">
        <v>168</v>
      </c>
      <c r="C7" s="4">
        <v>0.18</v>
      </c>
      <c r="D7" s="4">
        <v>0.18</v>
      </c>
      <c r="E7" s="17">
        <f>$C$7/$C$8</f>
        <v>0.30508474576271183</v>
      </c>
      <c r="F7" s="17">
        <f>$D$7/$D$8</f>
        <v>0.41860465116279066</v>
      </c>
      <c r="G7" s="17">
        <f>$D$7/$D$8</f>
        <v>0.41860465116279066</v>
      </c>
      <c r="H7" s="17">
        <f>$D$7/$D$8</f>
        <v>0.41860465116279066</v>
      </c>
      <c r="I7" s="17">
        <f>$D$7/$D$8</f>
        <v>0.41860465116279066</v>
      </c>
      <c r="K7" s="20">
        <f>E7*demand!$E$2</f>
        <v>0.10983050847457626</v>
      </c>
      <c r="L7" s="20">
        <f>F7*demand!$E$4</f>
        <v>1.255813953488372E-2</v>
      </c>
      <c r="M7" s="20">
        <f>G7*demand!$E$3</f>
        <v>2.0930232558139532E-3</v>
      </c>
      <c r="N7" s="20">
        <f>H7*demand!$E$5</f>
        <v>0.09</v>
      </c>
      <c r="O7" s="20">
        <f>I7*demand!$E$6</f>
        <v>4.1860465116279064E-3</v>
      </c>
      <c r="T7" s="4"/>
      <c r="U7" s="4"/>
      <c r="V7" s="17"/>
      <c r="W7" s="17"/>
      <c r="X7" s="17"/>
      <c r="Y7" s="17"/>
      <c r="Z7" s="17"/>
      <c r="AB7" s="20"/>
      <c r="AC7" s="20"/>
      <c r="AD7" s="20"/>
      <c r="AE7" s="20"/>
      <c r="AF7" s="20"/>
    </row>
    <row r="8" spans="1:32" x14ac:dyDescent="0.3">
      <c r="C8" s="4">
        <f>SUM(C4:C7)</f>
        <v>0.59000000000000008</v>
      </c>
      <c r="D8" s="4">
        <f>SUM(D4:D7)</f>
        <v>0.43</v>
      </c>
      <c r="K8" s="21">
        <f>SUM(K4:K7)</f>
        <v>0.35999999999999993</v>
      </c>
      <c r="L8" s="21">
        <f>SUM(L4:L7)</f>
        <v>0.03</v>
      </c>
      <c r="M8" s="21">
        <f t="shared" ref="M8:O8" si="0">SUM(M4:M7)</f>
        <v>4.9999999999999992E-3</v>
      </c>
      <c r="N8" s="21">
        <f t="shared" si="0"/>
        <v>0.215</v>
      </c>
      <c r="O8" s="21">
        <f t="shared" si="0"/>
        <v>9.9999999999999985E-3</v>
      </c>
      <c r="T8" s="4"/>
      <c r="U8" s="4"/>
      <c r="AB8" s="20"/>
      <c r="AC8" s="20"/>
      <c r="AD8" s="20"/>
      <c r="AE8" s="20"/>
      <c r="AF8" s="20"/>
    </row>
    <row r="9" spans="1:32" x14ac:dyDescent="0.3">
      <c r="N9" s="20"/>
      <c r="AE9" s="20"/>
    </row>
    <row r="11" spans="1:32" x14ac:dyDescent="0.3">
      <c r="A11" t="s">
        <v>153</v>
      </c>
      <c r="C11" s="11" t="s">
        <v>154</v>
      </c>
      <c r="D11" s="11"/>
      <c r="E11" s="11" t="s">
        <v>155</v>
      </c>
      <c r="F11" s="11"/>
      <c r="K11" s="11" t="s">
        <v>155</v>
      </c>
      <c r="L11" s="11"/>
      <c r="T11" s="11"/>
      <c r="U11" s="11"/>
      <c r="V11" s="11"/>
      <c r="W11" s="11"/>
      <c r="AB11" s="11"/>
      <c r="AC11" s="11"/>
    </row>
    <row r="12" spans="1:32" x14ac:dyDescent="0.3">
      <c r="A12" t="s">
        <v>49</v>
      </c>
      <c r="B12" t="s">
        <v>156</v>
      </c>
      <c r="C12" t="s">
        <v>157</v>
      </c>
      <c r="D12" t="s">
        <v>158</v>
      </c>
      <c r="E12" t="s">
        <v>51</v>
      </c>
      <c r="F12" t="s">
        <v>52</v>
      </c>
      <c r="G12" t="s">
        <v>53</v>
      </c>
      <c r="H12" t="s">
        <v>56</v>
      </c>
      <c r="I12" t="s">
        <v>54</v>
      </c>
      <c r="K12" t="s">
        <v>51</v>
      </c>
      <c r="L12" t="s">
        <v>52</v>
      </c>
      <c r="M12" t="s">
        <v>53</v>
      </c>
      <c r="N12" t="s">
        <v>56</v>
      </c>
      <c r="O12" t="s">
        <v>54</v>
      </c>
    </row>
    <row r="13" spans="1:32" x14ac:dyDescent="0.3">
      <c r="A13" t="s">
        <v>25</v>
      </c>
      <c r="B13" t="s">
        <v>159</v>
      </c>
      <c r="C13" s="4">
        <v>0.12</v>
      </c>
      <c r="D13" s="4">
        <v>0.26</v>
      </c>
      <c r="E13" s="17">
        <f t="shared" ref="E13:F17" si="1">C13/C$18</f>
        <v>0.12631578947368419</v>
      </c>
      <c r="F13" s="17">
        <f t="shared" si="1"/>
        <v>0.39393939393939392</v>
      </c>
      <c r="G13">
        <f>1/4</f>
        <v>0.25</v>
      </c>
      <c r="H13">
        <f>1/4</f>
        <v>0.25</v>
      </c>
      <c r="I13">
        <f>3/8</f>
        <v>0.375</v>
      </c>
      <c r="K13" s="20">
        <f>E13*demand!$C$2</f>
        <v>3.91578947368421E-2</v>
      </c>
      <c r="L13" s="20">
        <f>F13*demand!$C$4</f>
        <v>0.18121212121212121</v>
      </c>
      <c r="M13" s="20">
        <f>G13*demand!$C$3</f>
        <v>4.4999999999999998E-2</v>
      </c>
      <c r="N13" s="20">
        <f>H13*demand!$C$5</f>
        <v>7.4999999999999997E-3</v>
      </c>
      <c r="O13" s="20">
        <f>I13*demand!$C$6</f>
        <v>0.10125000000000001</v>
      </c>
      <c r="T13" s="4"/>
      <c r="U13" s="4"/>
      <c r="V13" s="17"/>
      <c r="W13" s="17"/>
      <c r="AB13" s="20"/>
      <c r="AC13" s="20"/>
      <c r="AD13" s="20"/>
      <c r="AE13" s="20"/>
      <c r="AF13" s="20"/>
    </row>
    <row r="14" spans="1:32" x14ac:dyDescent="0.3">
      <c r="A14" t="s">
        <v>20</v>
      </c>
      <c r="B14" t="s">
        <v>160</v>
      </c>
      <c r="C14" s="4">
        <v>0.09</v>
      </c>
      <c r="D14" s="4">
        <v>0</v>
      </c>
      <c r="E14" s="17">
        <f t="shared" si="1"/>
        <v>9.4736842105263147E-2</v>
      </c>
      <c r="F14" s="17">
        <f t="shared" si="1"/>
        <v>0</v>
      </c>
      <c r="G14">
        <v>0</v>
      </c>
      <c r="H14">
        <v>0</v>
      </c>
      <c r="I14">
        <v>0</v>
      </c>
      <c r="K14" s="20">
        <f>E14*demand!$C$2</f>
        <v>2.9368421052631575E-2</v>
      </c>
      <c r="L14" s="20">
        <f>F14*demand!$C$4</f>
        <v>0</v>
      </c>
      <c r="M14" s="20">
        <f>G14*demand!$C$3</f>
        <v>0</v>
      </c>
      <c r="N14" s="20">
        <f>H14*demand!$C$5</f>
        <v>0</v>
      </c>
      <c r="O14" s="20">
        <f>I14*demand!$C$6</f>
        <v>0</v>
      </c>
      <c r="T14" s="4"/>
      <c r="U14" s="4"/>
      <c r="V14" s="17"/>
      <c r="W14" s="17"/>
      <c r="AB14" s="20"/>
      <c r="AC14" s="20"/>
      <c r="AD14" s="20"/>
      <c r="AE14" s="20"/>
      <c r="AF14" s="20"/>
    </row>
    <row r="15" spans="1:32" x14ac:dyDescent="0.3">
      <c r="A15" t="s">
        <v>11</v>
      </c>
      <c r="B15" t="s">
        <v>161</v>
      </c>
      <c r="C15" s="4">
        <v>0.09</v>
      </c>
      <c r="D15" s="4">
        <v>0.09</v>
      </c>
      <c r="E15" s="17">
        <f t="shared" si="1"/>
        <v>9.4736842105263147E-2</v>
      </c>
      <c r="F15" s="17">
        <f t="shared" si="1"/>
        <v>0.13636363636363635</v>
      </c>
      <c r="G15">
        <f t="shared" ref="G15:G17" si="2">1/4</f>
        <v>0.25</v>
      </c>
      <c r="H15">
        <f t="shared" ref="H15:H17" si="3">1/4</f>
        <v>0.25</v>
      </c>
      <c r="I15">
        <f>3/8</f>
        <v>0.375</v>
      </c>
      <c r="K15" s="20">
        <f>E15*demand!$C$2</f>
        <v>2.9368421052631575E-2</v>
      </c>
      <c r="L15" s="20">
        <f>F15*demand!$C$4</f>
        <v>6.2727272727272729E-2</v>
      </c>
      <c r="M15" s="20">
        <f>G15*demand!$C$3</f>
        <v>4.4999999999999998E-2</v>
      </c>
      <c r="N15" s="20">
        <f>H15*demand!$C$5</f>
        <v>7.4999999999999997E-3</v>
      </c>
      <c r="O15" s="20">
        <f>I15*demand!$C$6</f>
        <v>0.10125000000000001</v>
      </c>
      <c r="T15" s="4"/>
      <c r="U15" s="4"/>
      <c r="V15" s="17"/>
      <c r="W15" s="17"/>
      <c r="AB15" s="20"/>
      <c r="AC15" s="20"/>
      <c r="AD15" s="20"/>
      <c r="AE15" s="20"/>
      <c r="AF15" s="20"/>
    </row>
    <row r="16" spans="1:32" x14ac:dyDescent="0.3">
      <c r="A16" t="s">
        <v>7</v>
      </c>
      <c r="B16" t="s">
        <v>162</v>
      </c>
      <c r="C16" s="4">
        <v>0.53</v>
      </c>
      <c r="D16" s="4">
        <v>0.19</v>
      </c>
      <c r="E16" s="17">
        <f t="shared" si="1"/>
        <v>0.55789473684210522</v>
      </c>
      <c r="F16" s="17">
        <f t="shared" si="1"/>
        <v>0.28787878787878785</v>
      </c>
      <c r="G16">
        <f t="shared" si="2"/>
        <v>0.25</v>
      </c>
      <c r="H16">
        <f t="shared" si="3"/>
        <v>0.25</v>
      </c>
      <c r="I16">
        <f>1/8</f>
        <v>0.125</v>
      </c>
      <c r="K16" s="20">
        <f>E16*demand!$C$2</f>
        <v>0.17294736842105263</v>
      </c>
      <c r="L16" s="20">
        <f>F16*demand!$C$4</f>
        <v>0.13242424242424242</v>
      </c>
      <c r="M16" s="20">
        <f>G16*demand!$C$3</f>
        <v>4.4999999999999998E-2</v>
      </c>
      <c r="N16" s="20">
        <f>H16*demand!$C$5</f>
        <v>7.4999999999999997E-3</v>
      </c>
      <c r="O16" s="20">
        <f>I16*demand!$C$6</f>
        <v>3.3750000000000002E-2</v>
      </c>
      <c r="T16" s="4"/>
      <c r="U16" s="4"/>
      <c r="V16" s="17"/>
      <c r="W16" s="17"/>
      <c r="AB16" s="20"/>
      <c r="AC16" s="20"/>
      <c r="AD16" s="20"/>
      <c r="AE16" s="20"/>
      <c r="AF16" s="20"/>
    </row>
    <row r="17" spans="1:32" x14ac:dyDescent="0.3">
      <c r="A17" t="s">
        <v>9</v>
      </c>
      <c r="B17" t="s">
        <v>163</v>
      </c>
      <c r="C17" s="4">
        <v>0.12</v>
      </c>
      <c r="D17" s="4">
        <v>0.12</v>
      </c>
      <c r="E17" s="17">
        <f t="shared" si="1"/>
        <v>0.12631578947368419</v>
      </c>
      <c r="F17" s="17">
        <f t="shared" si="1"/>
        <v>0.1818181818181818</v>
      </c>
      <c r="G17">
        <f t="shared" si="2"/>
        <v>0.25</v>
      </c>
      <c r="H17">
        <f t="shared" si="3"/>
        <v>0.25</v>
      </c>
      <c r="I17">
        <f>1/8</f>
        <v>0.125</v>
      </c>
      <c r="K17" s="20">
        <f>E17*demand!$C$2</f>
        <v>3.91578947368421E-2</v>
      </c>
      <c r="L17" s="20">
        <f>F17*demand!$C$4</f>
        <v>8.3636363636363634E-2</v>
      </c>
      <c r="M17" s="20">
        <f>G17*demand!$C$3</f>
        <v>4.4999999999999998E-2</v>
      </c>
      <c r="N17" s="20">
        <f>H17*demand!$C$5</f>
        <v>7.4999999999999997E-3</v>
      </c>
      <c r="O17" s="20">
        <f>I17*demand!$C$6</f>
        <v>3.3750000000000002E-2</v>
      </c>
      <c r="T17" s="4"/>
      <c r="U17" s="4"/>
      <c r="V17" s="17"/>
      <c r="W17" s="17"/>
      <c r="AB17" s="20"/>
      <c r="AC17" s="20"/>
      <c r="AD17" s="20"/>
      <c r="AE17" s="20"/>
      <c r="AF17" s="20"/>
    </row>
    <row r="18" spans="1:32" x14ac:dyDescent="0.3">
      <c r="C18" s="4">
        <f>SUM(C13:C17)</f>
        <v>0.95000000000000007</v>
      </c>
      <c r="D18" s="4">
        <f>SUM(D13:D17)</f>
        <v>0.66</v>
      </c>
      <c r="K18" s="21">
        <f>SUM(K13:K17)</f>
        <v>0.31</v>
      </c>
      <c r="L18" s="21">
        <f t="shared" ref="L18:O18" si="4">SUM(L13:L17)</f>
        <v>0.45999999999999996</v>
      </c>
      <c r="M18" s="21">
        <f t="shared" si="4"/>
        <v>0.18</v>
      </c>
      <c r="N18" s="21">
        <f t="shared" si="4"/>
        <v>0.03</v>
      </c>
      <c r="O18" s="21">
        <f t="shared" si="4"/>
        <v>0.27</v>
      </c>
      <c r="T18" s="4"/>
      <c r="U18" s="4"/>
      <c r="V18" s="17"/>
      <c r="W18" s="17"/>
      <c r="AB18" s="20"/>
      <c r="AC18" s="20"/>
      <c r="AD18" s="20"/>
      <c r="AE18" s="20"/>
    </row>
    <row r="19" spans="1:32" x14ac:dyDescent="0.3">
      <c r="T19" s="4"/>
      <c r="U19" s="4"/>
      <c r="AB19" s="20"/>
      <c r="AC19" s="20"/>
      <c r="AD19" s="20"/>
      <c r="AE19" s="20"/>
      <c r="AF19" s="20"/>
    </row>
    <row r="20" spans="1:32" x14ac:dyDescent="0.3">
      <c r="A20" t="s">
        <v>170</v>
      </c>
      <c r="C20" s="11" t="s">
        <v>154</v>
      </c>
      <c r="D20" s="11"/>
      <c r="E20" s="11" t="s">
        <v>155</v>
      </c>
      <c r="F20" s="11"/>
      <c r="K20" s="11" t="s">
        <v>155</v>
      </c>
      <c r="L20" s="11"/>
    </row>
    <row r="21" spans="1:32" x14ac:dyDescent="0.3">
      <c r="A21" t="s">
        <v>49</v>
      </c>
      <c r="B21" t="s">
        <v>156</v>
      </c>
      <c r="C21" t="s">
        <v>164</v>
      </c>
      <c r="E21" t="s">
        <v>51</v>
      </c>
      <c r="F21" t="s">
        <v>52</v>
      </c>
      <c r="G21" t="s">
        <v>53</v>
      </c>
      <c r="H21" t="s">
        <v>56</v>
      </c>
      <c r="I21" t="s">
        <v>54</v>
      </c>
      <c r="K21" t="s">
        <v>51</v>
      </c>
      <c r="L21" t="s">
        <v>52</v>
      </c>
      <c r="M21" t="s">
        <v>53</v>
      </c>
      <c r="N21" t="s">
        <v>56</v>
      </c>
      <c r="O21" t="s">
        <v>54</v>
      </c>
    </row>
    <row r="22" spans="1:32" x14ac:dyDescent="0.3">
      <c r="A22" t="s">
        <v>6</v>
      </c>
      <c r="B22" t="s">
        <v>171</v>
      </c>
      <c r="C22">
        <v>1</v>
      </c>
      <c r="E22">
        <v>0</v>
      </c>
      <c r="F22">
        <v>1</v>
      </c>
      <c r="G22">
        <v>1</v>
      </c>
      <c r="H22">
        <v>1</v>
      </c>
      <c r="I22">
        <v>1</v>
      </c>
      <c r="K22">
        <v>0</v>
      </c>
      <c r="L22">
        <f>1*demand!B4</f>
        <v>0.46</v>
      </c>
      <c r="M22">
        <f>1*demand!B3</f>
        <v>0.36</v>
      </c>
      <c r="N22">
        <f>1*demand!B5</f>
        <v>0.67</v>
      </c>
      <c r="O22">
        <f>1*demand!B6</f>
        <v>0.25</v>
      </c>
      <c r="T22" s="11"/>
      <c r="U22" s="11"/>
      <c r="V22" s="11"/>
      <c r="W22" s="11"/>
      <c r="AB22" s="11"/>
      <c r="AC22" s="11"/>
    </row>
    <row r="25" spans="1:32" x14ac:dyDescent="0.3">
      <c r="A25" t="s">
        <v>172</v>
      </c>
      <c r="C25" s="11" t="s">
        <v>154</v>
      </c>
      <c r="D25" s="11"/>
      <c r="E25" s="11" t="s">
        <v>155</v>
      </c>
      <c r="F25" s="11"/>
      <c r="K25" s="11" t="s">
        <v>155</v>
      </c>
      <c r="L25" s="11"/>
    </row>
    <row r="26" spans="1:32" x14ac:dyDescent="0.3">
      <c r="A26" t="s">
        <v>49</v>
      </c>
      <c r="B26" t="s">
        <v>156</v>
      </c>
      <c r="C26" t="s">
        <v>164</v>
      </c>
      <c r="E26" t="s">
        <v>51</v>
      </c>
      <c r="F26" t="s">
        <v>52</v>
      </c>
      <c r="G26" t="s">
        <v>53</v>
      </c>
      <c r="H26" t="s">
        <v>56</v>
      </c>
      <c r="I26" t="s">
        <v>54</v>
      </c>
      <c r="K26" t="s">
        <v>51</v>
      </c>
      <c r="L26" t="s">
        <v>52</v>
      </c>
      <c r="M26" t="s">
        <v>53</v>
      </c>
      <c r="N26" t="s">
        <v>56</v>
      </c>
      <c r="O26" t="s">
        <v>54</v>
      </c>
    </row>
    <row r="27" spans="1:32" x14ac:dyDescent="0.3">
      <c r="A27" t="s">
        <v>13</v>
      </c>
      <c r="B27" t="s">
        <v>173</v>
      </c>
      <c r="C27">
        <v>1</v>
      </c>
      <c r="E27">
        <v>1</v>
      </c>
      <c r="F27">
        <v>0</v>
      </c>
      <c r="G27">
        <v>1</v>
      </c>
      <c r="H27">
        <v>1</v>
      </c>
      <c r="I27">
        <v>1</v>
      </c>
      <c r="K27">
        <f>1*demand!D2</f>
        <v>0.31</v>
      </c>
      <c r="L27">
        <v>0</v>
      </c>
      <c r="M27">
        <f>1*demand!D3</f>
        <v>0.39500000000000002</v>
      </c>
      <c r="N27">
        <f>1*demand!D5</f>
        <v>0.08</v>
      </c>
      <c r="O27">
        <f>1*demand!D6</f>
        <v>0.47</v>
      </c>
      <c r="T27" s="11"/>
      <c r="U27" s="11"/>
      <c r="V27" s="11"/>
      <c r="W27" s="11"/>
      <c r="AB27" s="11"/>
      <c r="AC27" s="11"/>
    </row>
    <row r="30" spans="1:32" x14ac:dyDescent="0.3">
      <c r="A30" t="s">
        <v>174</v>
      </c>
      <c r="C30" s="11" t="s">
        <v>154</v>
      </c>
      <c r="D30" s="11"/>
      <c r="E30" s="11" t="s">
        <v>155</v>
      </c>
      <c r="F30" s="11"/>
      <c r="K30" s="11" t="s">
        <v>155</v>
      </c>
      <c r="L30" s="11"/>
    </row>
    <row r="31" spans="1:32" x14ac:dyDescent="0.3">
      <c r="A31" t="s">
        <v>49</v>
      </c>
      <c r="B31" t="s">
        <v>156</v>
      </c>
      <c r="C31" t="s">
        <v>164</v>
      </c>
      <c r="E31" t="s">
        <v>51</v>
      </c>
      <c r="F31" t="s">
        <v>52</v>
      </c>
      <c r="G31" t="s">
        <v>53</v>
      </c>
      <c r="H31" t="s">
        <v>56</v>
      </c>
      <c r="I31" t="s">
        <v>54</v>
      </c>
      <c r="K31" t="s">
        <v>51</v>
      </c>
      <c r="L31" t="s">
        <v>52</v>
      </c>
      <c r="M31" t="s">
        <v>53</v>
      </c>
      <c r="N31" t="s">
        <v>56</v>
      </c>
      <c r="O31" t="s">
        <v>54</v>
      </c>
    </row>
    <row r="32" spans="1:32" x14ac:dyDescent="0.3">
      <c r="A32" t="s">
        <v>29</v>
      </c>
      <c r="B32" t="s">
        <v>175</v>
      </c>
      <c r="C32">
        <v>1</v>
      </c>
      <c r="E32">
        <v>1</v>
      </c>
      <c r="F32">
        <v>1</v>
      </c>
      <c r="G32">
        <v>1</v>
      </c>
      <c r="H32">
        <v>1</v>
      </c>
      <c r="I32">
        <v>0</v>
      </c>
      <c r="K32">
        <f>1*demand!F2</f>
        <v>0.02</v>
      </c>
      <c r="L32">
        <f>1*demand!F4</f>
        <v>0.05</v>
      </c>
      <c r="M32">
        <f>1*demand!F3</f>
        <v>0.06</v>
      </c>
      <c r="N32">
        <f>1*demand!F5</f>
        <v>5.0000000000000001E-3</v>
      </c>
      <c r="O32">
        <v>0</v>
      </c>
      <c r="T32" s="11"/>
      <c r="U32" s="11"/>
      <c r="V32" s="11"/>
      <c r="W32" s="11"/>
      <c r="AB32" s="11"/>
      <c r="AC32" s="11"/>
    </row>
    <row r="34" spans="1:32" x14ac:dyDescent="0.3">
      <c r="K34" s="22">
        <f>SUM(K8+K18+K22+K27+K32)</f>
        <v>1</v>
      </c>
      <c r="L34" s="22">
        <f t="shared" ref="L34:O34" si="5">SUM(L8+L18+L22+L27+L32)</f>
        <v>1</v>
      </c>
      <c r="M34" s="22">
        <f t="shared" si="5"/>
        <v>1</v>
      </c>
      <c r="N34" s="22">
        <f t="shared" si="5"/>
        <v>1</v>
      </c>
      <c r="O34" s="22">
        <f t="shared" si="5"/>
        <v>1</v>
      </c>
    </row>
    <row r="35" spans="1:32" x14ac:dyDescent="0.3">
      <c r="K35" t="s">
        <v>176</v>
      </c>
      <c r="L35" t="s">
        <v>176</v>
      </c>
      <c r="M35" t="s">
        <v>176</v>
      </c>
      <c r="N35" t="s">
        <v>176</v>
      </c>
      <c r="O35" t="s">
        <v>176</v>
      </c>
    </row>
    <row r="36" spans="1:32" x14ac:dyDescent="0.3">
      <c r="AB36" s="20"/>
      <c r="AC36" s="20"/>
      <c r="AD36" s="20"/>
      <c r="AE36" s="20"/>
      <c r="AF36" s="20"/>
    </row>
    <row r="39" spans="1:32" x14ac:dyDescent="0.3">
      <c r="A39" t="s">
        <v>205</v>
      </c>
    </row>
    <row r="40" spans="1:32" x14ac:dyDescent="0.3">
      <c r="A40" t="s">
        <v>70</v>
      </c>
      <c r="D40" s="11" t="s">
        <v>155</v>
      </c>
    </row>
    <row r="41" spans="1:32" x14ac:dyDescent="0.3">
      <c r="A41" t="s">
        <v>49</v>
      </c>
      <c r="B41" t="s">
        <v>156</v>
      </c>
      <c r="C41" t="s">
        <v>164</v>
      </c>
      <c r="D41" t="s">
        <v>177</v>
      </c>
      <c r="E41" t="s">
        <v>51</v>
      </c>
      <c r="F41" t="s">
        <v>52</v>
      </c>
      <c r="G41" t="s">
        <v>53</v>
      </c>
      <c r="H41" t="s">
        <v>56</v>
      </c>
      <c r="I41" t="s">
        <v>54</v>
      </c>
      <c r="K41" t="s">
        <v>51</v>
      </c>
      <c r="L41" t="s">
        <v>52</v>
      </c>
      <c r="M41" t="s">
        <v>53</v>
      </c>
      <c r="N41" t="s">
        <v>56</v>
      </c>
    </row>
    <row r="42" spans="1:32" x14ac:dyDescent="0.3">
      <c r="A42" t="s">
        <v>35</v>
      </c>
      <c r="B42" t="s">
        <v>165</v>
      </c>
      <c r="C42" s="4">
        <v>0.16</v>
      </c>
      <c r="E42" s="17">
        <f>C42/$C$46</f>
        <v>0.27118644067796605</v>
      </c>
      <c r="F42" s="17">
        <v>0</v>
      </c>
      <c r="G42" s="17">
        <v>0</v>
      </c>
      <c r="H42" s="17">
        <v>0</v>
      </c>
      <c r="I42" s="17">
        <v>0</v>
      </c>
      <c r="K42">
        <f>demand_small!$E$2*E42</f>
        <v>0.10033898305084743</v>
      </c>
      <c r="L42" s="17">
        <v>0</v>
      </c>
      <c r="M42" s="17">
        <v>0</v>
      </c>
      <c r="N42" s="17">
        <v>0</v>
      </c>
    </row>
    <row r="43" spans="1:32" x14ac:dyDescent="0.3">
      <c r="A43" t="s">
        <v>44</v>
      </c>
      <c r="B43" t="s">
        <v>166</v>
      </c>
      <c r="C43" s="4">
        <v>0.1</v>
      </c>
      <c r="D43" s="4">
        <v>0.1</v>
      </c>
      <c r="E43" s="17">
        <f>C43/$C$46</f>
        <v>0.16949152542372881</v>
      </c>
      <c r="F43" s="17">
        <f>D43/$D$46</f>
        <v>0.23255813953488375</v>
      </c>
      <c r="G43" s="17">
        <v>0</v>
      </c>
      <c r="H43" s="17">
        <f>$D$5/$D$8</f>
        <v>0.23255813953488375</v>
      </c>
      <c r="I43" s="17">
        <v>0</v>
      </c>
      <c r="K43">
        <f>demand_small!$E$2*E43</f>
        <v>6.2711864406779658E-2</v>
      </c>
      <c r="L43" s="17">
        <v>0</v>
      </c>
      <c r="M43" s="17">
        <v>0</v>
      </c>
      <c r="N43">
        <f>H43*demand_small!$E$5</f>
        <v>6.0465116279069774E-2</v>
      </c>
    </row>
    <row r="44" spans="1:32" x14ac:dyDescent="0.3">
      <c r="A44" t="s">
        <v>41</v>
      </c>
      <c r="B44" t="s">
        <v>167</v>
      </c>
      <c r="C44" s="4">
        <v>0.15</v>
      </c>
      <c r="D44" s="4">
        <v>0.15</v>
      </c>
      <c r="E44" s="17">
        <f t="shared" ref="E44:E45" si="6">C44/$C$46</f>
        <v>0.25423728813559315</v>
      </c>
      <c r="F44" s="17">
        <f>D44/$D$46</f>
        <v>0.34883720930232559</v>
      </c>
      <c r="G44" s="17">
        <v>0</v>
      </c>
      <c r="H44" s="17">
        <f>$D$6/$D$8</f>
        <v>0.34883720930232559</v>
      </c>
      <c r="I44" s="17">
        <v>0</v>
      </c>
      <c r="K44">
        <f>demand_small!$E$2*E44</f>
        <v>9.4067796610169466E-2</v>
      </c>
      <c r="L44" s="17">
        <v>0</v>
      </c>
      <c r="M44" s="17">
        <v>0</v>
      </c>
      <c r="N44">
        <f>H44*demand_small!$E$5</f>
        <v>9.0697674418604657E-2</v>
      </c>
    </row>
    <row r="45" spans="1:32" x14ac:dyDescent="0.3">
      <c r="A45" t="s">
        <v>37</v>
      </c>
      <c r="B45" t="s">
        <v>168</v>
      </c>
      <c r="C45" s="4">
        <v>0.18</v>
      </c>
      <c r="D45" s="4">
        <v>0.18</v>
      </c>
      <c r="E45" s="17">
        <f t="shared" si="6"/>
        <v>0.30508474576271183</v>
      </c>
      <c r="F45" s="17">
        <f>D45/$D$46</f>
        <v>0.41860465116279066</v>
      </c>
      <c r="G45" s="17">
        <v>0</v>
      </c>
      <c r="H45" s="17">
        <f>$D$7/$D$8</f>
        <v>0.41860465116279066</v>
      </c>
      <c r="I45" s="17">
        <v>0</v>
      </c>
      <c r="K45">
        <f>demand_small!$E$2*E45</f>
        <v>0.11288135593220337</v>
      </c>
      <c r="L45" s="17">
        <v>0</v>
      </c>
      <c r="M45" s="17">
        <v>0</v>
      </c>
      <c r="N45">
        <f>H45*demand_small!$E$5</f>
        <v>0.10883720930232557</v>
      </c>
    </row>
    <row r="46" spans="1:32" x14ac:dyDescent="0.3">
      <c r="C46" s="4">
        <f>SUM(C42:C45)</f>
        <v>0.59000000000000008</v>
      </c>
      <c r="D46" s="4">
        <f>SUM(D42:D45)</f>
        <v>0.43</v>
      </c>
      <c r="K46" s="23">
        <f>SUM(K42:K45)</f>
        <v>0.36999999999999994</v>
      </c>
      <c r="L46" s="23">
        <f t="shared" ref="L46:N46" si="7">SUM(L42:L45)</f>
        <v>0</v>
      </c>
      <c r="M46" s="23">
        <f t="shared" si="7"/>
        <v>0</v>
      </c>
      <c r="N46" s="23">
        <f t="shared" si="7"/>
        <v>0.26</v>
      </c>
    </row>
    <row r="49" spans="1:14" x14ac:dyDescent="0.3">
      <c r="A49" t="s">
        <v>153</v>
      </c>
      <c r="C49" s="30" t="s">
        <v>154</v>
      </c>
      <c r="D49" s="30"/>
      <c r="E49" s="30" t="s">
        <v>155</v>
      </c>
      <c r="F49" s="30"/>
    </row>
    <row r="50" spans="1:14" x14ac:dyDescent="0.3">
      <c r="A50" t="s">
        <v>49</v>
      </c>
      <c r="B50" t="s">
        <v>156</v>
      </c>
      <c r="C50" t="s">
        <v>157</v>
      </c>
      <c r="D50" t="s">
        <v>158</v>
      </c>
      <c r="E50" t="s">
        <v>51</v>
      </c>
      <c r="F50" t="s">
        <v>52</v>
      </c>
      <c r="G50" t="s">
        <v>53</v>
      </c>
      <c r="H50" t="s">
        <v>56</v>
      </c>
      <c r="I50" t="s">
        <v>54</v>
      </c>
      <c r="K50" t="s">
        <v>51</v>
      </c>
      <c r="L50" t="s">
        <v>52</v>
      </c>
      <c r="M50" t="s">
        <v>53</v>
      </c>
      <c r="N50" t="s">
        <v>56</v>
      </c>
    </row>
    <row r="51" spans="1:14" x14ac:dyDescent="0.3">
      <c r="A51" t="s">
        <v>25</v>
      </c>
      <c r="B51" t="s">
        <v>159</v>
      </c>
      <c r="C51" s="4">
        <v>0.12</v>
      </c>
      <c r="D51" s="4">
        <v>0.26</v>
      </c>
      <c r="E51" s="17">
        <f>C51/C$56</f>
        <v>0.14457831325301204</v>
      </c>
      <c r="F51" s="17">
        <f t="shared" ref="F51:F53" si="8">D51/D$56</f>
        <v>0.48148148148148145</v>
      </c>
      <c r="G51">
        <f>1/4</f>
        <v>0.25</v>
      </c>
      <c r="H51">
        <v>0</v>
      </c>
      <c r="I51">
        <v>0</v>
      </c>
      <c r="K51">
        <f>E51*demand_small!$C$2</f>
        <v>4.6265060240963857E-2</v>
      </c>
      <c r="L51">
        <f>F51*demand_small!$C$4</f>
        <v>0.24555555555555555</v>
      </c>
      <c r="M51">
        <f>G51*demand_small!$C$3</f>
        <v>4.7500000000000001E-2</v>
      </c>
      <c r="N51">
        <f>0</f>
        <v>0</v>
      </c>
    </row>
    <row r="52" spans="1:14" x14ac:dyDescent="0.3">
      <c r="A52" t="s">
        <v>20</v>
      </c>
      <c r="B52" t="s">
        <v>160</v>
      </c>
      <c r="C52" s="4">
        <v>0.09</v>
      </c>
      <c r="D52" s="4">
        <v>0</v>
      </c>
      <c r="E52" s="17">
        <f>C52/C$56</f>
        <v>0.10843373493975902</v>
      </c>
      <c r="F52" s="17">
        <f t="shared" si="8"/>
        <v>0</v>
      </c>
      <c r="G52">
        <v>0</v>
      </c>
      <c r="H52">
        <v>0</v>
      </c>
      <c r="I52">
        <v>0</v>
      </c>
      <c r="K52">
        <f>E52*demand_small!$C$2</f>
        <v>3.4698795180722886E-2</v>
      </c>
      <c r="L52">
        <f>F52*demand_small!$C$4</f>
        <v>0</v>
      </c>
      <c r="M52">
        <f>G52*demand_small!$C$3</f>
        <v>0</v>
      </c>
      <c r="N52">
        <f>0</f>
        <v>0</v>
      </c>
    </row>
    <row r="53" spans="1:14" x14ac:dyDescent="0.3">
      <c r="A53" t="s">
        <v>11</v>
      </c>
      <c r="B53" t="s">
        <v>161</v>
      </c>
      <c r="C53" s="4">
        <v>0.09</v>
      </c>
      <c r="D53" s="4">
        <v>0.09</v>
      </c>
      <c r="E53" s="17">
        <f>C53/C$56</f>
        <v>0.10843373493975902</v>
      </c>
      <c r="F53" s="17">
        <f t="shared" si="8"/>
        <v>0.16666666666666666</v>
      </c>
      <c r="G53">
        <f t="shared" ref="G53:G55" si="9">1/4</f>
        <v>0.25</v>
      </c>
      <c r="H53">
        <v>0</v>
      </c>
      <c r="I53">
        <v>0</v>
      </c>
      <c r="K53">
        <f>E53*demand_small!$C$2</f>
        <v>3.4698795180722886E-2</v>
      </c>
      <c r="L53">
        <f>F53*demand_small!$C$4</f>
        <v>8.4999999999999992E-2</v>
      </c>
      <c r="M53">
        <f>G53*demand_small!$C$3</f>
        <v>4.7500000000000001E-2</v>
      </c>
      <c r="N53">
        <f>0</f>
        <v>0</v>
      </c>
    </row>
    <row r="54" spans="1:14" x14ac:dyDescent="0.3">
      <c r="A54" t="s">
        <v>7</v>
      </c>
      <c r="B54" t="s">
        <v>162</v>
      </c>
      <c r="C54" s="4">
        <v>0.53</v>
      </c>
      <c r="D54" s="4">
        <v>0.19</v>
      </c>
      <c r="E54" s="17">
        <f>C54/C$56</f>
        <v>0.63855421686746983</v>
      </c>
      <c r="F54" s="17">
        <f>D54/D$56</f>
        <v>0.35185185185185186</v>
      </c>
      <c r="G54">
        <f t="shared" si="9"/>
        <v>0.25</v>
      </c>
      <c r="H54">
        <v>0</v>
      </c>
      <c r="I54">
        <v>0</v>
      </c>
      <c r="K54">
        <f>E54*demand_small!$C$2</f>
        <v>0.20433734939759035</v>
      </c>
      <c r="L54">
        <f>F54*demand_small!$C$4</f>
        <v>0.17944444444444446</v>
      </c>
      <c r="M54">
        <f>G54*demand_small!$C$3</f>
        <v>4.7500000000000001E-2</v>
      </c>
      <c r="N54">
        <f>0</f>
        <v>0</v>
      </c>
    </row>
    <row r="55" spans="1:14" x14ac:dyDescent="0.3">
      <c r="A55" t="s">
        <v>9</v>
      </c>
      <c r="B55" t="s">
        <v>163</v>
      </c>
      <c r="C55" s="4">
        <v>0</v>
      </c>
      <c r="D55" s="4">
        <v>0</v>
      </c>
      <c r="E55" s="17">
        <f>C55/C$8</f>
        <v>0</v>
      </c>
      <c r="F55" s="17">
        <f>D55/D$56</f>
        <v>0</v>
      </c>
      <c r="G55">
        <f t="shared" si="9"/>
        <v>0.25</v>
      </c>
      <c r="H55">
        <v>0</v>
      </c>
      <c r="I55">
        <v>0</v>
      </c>
      <c r="K55">
        <f>E55*demand_small!$C$2</f>
        <v>0</v>
      </c>
      <c r="L55">
        <f>F55*demand_small!$C$4</f>
        <v>0</v>
      </c>
      <c r="M55">
        <f>G55*demand_small!$C$3</f>
        <v>4.7500000000000001E-2</v>
      </c>
      <c r="N55">
        <f>0</f>
        <v>0</v>
      </c>
    </row>
    <row r="56" spans="1:14" x14ac:dyDescent="0.3">
      <c r="C56" s="4">
        <f>SUM(C51:C55)</f>
        <v>0.83000000000000007</v>
      </c>
      <c r="D56" s="4">
        <f>SUM(D51:D55)</f>
        <v>0.54</v>
      </c>
      <c r="K56" s="23">
        <f>SUM(K51:K55)</f>
        <v>0.31999999999999995</v>
      </c>
      <c r="L56" s="23">
        <f t="shared" ref="L56:N56" si="10">SUM(L51:L55)</f>
        <v>0.51</v>
      </c>
      <c r="M56" s="23">
        <f t="shared" si="10"/>
        <v>0.19</v>
      </c>
      <c r="N56" s="23">
        <f t="shared" si="10"/>
        <v>0</v>
      </c>
    </row>
    <row r="58" spans="1:14" x14ac:dyDescent="0.3">
      <c r="A58" t="s">
        <v>170</v>
      </c>
      <c r="C58" s="11" t="s">
        <v>154</v>
      </c>
      <c r="D58" s="11"/>
      <c r="E58" s="11" t="s">
        <v>155</v>
      </c>
      <c r="F58" s="11"/>
    </row>
    <row r="59" spans="1:14" x14ac:dyDescent="0.3">
      <c r="A59" t="s">
        <v>49</v>
      </c>
      <c r="B59" t="s">
        <v>156</v>
      </c>
      <c r="C59" t="s">
        <v>164</v>
      </c>
      <c r="E59" t="s">
        <v>51</v>
      </c>
      <c r="F59" t="s">
        <v>52</v>
      </c>
      <c r="G59" t="s">
        <v>53</v>
      </c>
      <c r="H59" t="s">
        <v>56</v>
      </c>
      <c r="I59" t="s">
        <v>54</v>
      </c>
      <c r="K59" t="s">
        <v>51</v>
      </c>
      <c r="L59" t="s">
        <v>52</v>
      </c>
      <c r="M59" t="s">
        <v>53</v>
      </c>
      <c r="N59" t="s">
        <v>56</v>
      </c>
    </row>
    <row r="60" spans="1:14" x14ac:dyDescent="0.3">
      <c r="A60" t="s">
        <v>6</v>
      </c>
      <c r="B60" t="s">
        <v>171</v>
      </c>
      <c r="C60">
        <v>1</v>
      </c>
      <c r="E60">
        <v>0</v>
      </c>
      <c r="F60">
        <v>1</v>
      </c>
      <c r="G60">
        <v>1</v>
      </c>
      <c r="H60">
        <v>1</v>
      </c>
      <c r="I60">
        <v>1</v>
      </c>
      <c r="K60" s="23">
        <f>0</f>
        <v>0</v>
      </c>
      <c r="L60" s="23">
        <f>demand_small!B4</f>
        <v>0.49</v>
      </c>
      <c r="M60" s="23">
        <f>demand_small!B3</f>
        <v>0.38</v>
      </c>
      <c r="N60" s="23">
        <f>demand_small!B5</f>
        <v>0.74</v>
      </c>
    </row>
    <row r="63" spans="1:14" x14ac:dyDescent="0.3">
      <c r="A63" t="s">
        <v>172</v>
      </c>
      <c r="C63" s="11" t="s">
        <v>154</v>
      </c>
      <c r="D63" s="11"/>
      <c r="E63" s="11" t="s">
        <v>155</v>
      </c>
      <c r="F63" s="11"/>
    </row>
    <row r="64" spans="1:14" x14ac:dyDescent="0.3">
      <c r="A64" t="s">
        <v>49</v>
      </c>
      <c r="B64" t="s">
        <v>156</v>
      </c>
      <c r="C64" t="s">
        <v>164</v>
      </c>
      <c r="E64" t="s">
        <v>51</v>
      </c>
      <c r="F64" t="s">
        <v>52</v>
      </c>
      <c r="G64" t="s">
        <v>53</v>
      </c>
      <c r="H64" t="s">
        <v>56</v>
      </c>
      <c r="I64" t="s">
        <v>54</v>
      </c>
      <c r="K64" t="s">
        <v>51</v>
      </c>
      <c r="L64" t="s">
        <v>52</v>
      </c>
      <c r="M64" t="s">
        <v>53</v>
      </c>
      <c r="N64" t="s">
        <v>56</v>
      </c>
    </row>
    <row r="65" spans="1:14" x14ac:dyDescent="0.3">
      <c r="A65" t="s">
        <v>13</v>
      </c>
      <c r="B65" t="s">
        <v>173</v>
      </c>
      <c r="C65">
        <v>1</v>
      </c>
      <c r="E65">
        <v>1</v>
      </c>
      <c r="F65">
        <v>0</v>
      </c>
      <c r="G65">
        <v>1</v>
      </c>
      <c r="H65">
        <v>1</v>
      </c>
      <c r="I65">
        <v>1</v>
      </c>
      <c r="K65" s="23">
        <f>demand_small!D2</f>
        <v>0.31</v>
      </c>
      <c r="L65" s="23">
        <f>0</f>
        <v>0</v>
      </c>
      <c r="M65" s="23">
        <f>demand_small!D3</f>
        <v>0.43</v>
      </c>
      <c r="N65" s="23">
        <f>0</f>
        <v>0</v>
      </c>
    </row>
    <row r="67" spans="1:14" x14ac:dyDescent="0.3">
      <c r="K67" s="24">
        <f>SUM(K46+K56+K60+K65)</f>
        <v>1</v>
      </c>
      <c r="L67" s="24">
        <f t="shared" ref="L67:N67" si="11">SUM(L46+L56+L60+L65)</f>
        <v>1</v>
      </c>
      <c r="M67" s="24">
        <f t="shared" si="11"/>
        <v>1</v>
      </c>
      <c r="N67" s="24">
        <f t="shared" si="11"/>
        <v>1</v>
      </c>
    </row>
  </sheetData>
  <mergeCells count="2">
    <mergeCell ref="C49:D49"/>
    <mergeCell ref="E49:F4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C657-8944-4042-AA8C-87504D8B6523}">
  <dimension ref="A1:AF70"/>
  <sheetViews>
    <sheetView zoomScaleNormal="100" workbookViewId="0">
      <selection activeCell="U7" sqref="U7"/>
    </sheetView>
  </sheetViews>
  <sheetFormatPr defaultRowHeight="14.4" x14ac:dyDescent="0.3"/>
  <sheetData>
    <row r="1" spans="1:32" x14ac:dyDescent="0.3">
      <c r="B1" t="s">
        <v>6</v>
      </c>
      <c r="C1" t="s">
        <v>13</v>
      </c>
      <c r="D1" t="s">
        <v>25</v>
      </c>
      <c r="E1" t="s">
        <v>11</v>
      </c>
      <c r="F1" t="s">
        <v>9</v>
      </c>
      <c r="G1" t="s">
        <v>7</v>
      </c>
      <c r="H1" t="s">
        <v>20</v>
      </c>
      <c r="I1" t="s">
        <v>29</v>
      </c>
      <c r="J1" t="s">
        <v>35</v>
      </c>
      <c r="K1" t="s">
        <v>41</v>
      </c>
      <c r="L1" t="s">
        <v>37</v>
      </c>
      <c r="M1" t="s">
        <v>44</v>
      </c>
      <c r="O1" s="3" t="s">
        <v>216</v>
      </c>
      <c r="P1" s="3"/>
      <c r="Q1" s="3"/>
      <c r="U1" t="s">
        <v>6</v>
      </c>
      <c r="V1" t="s">
        <v>13</v>
      </c>
      <c r="W1" t="s">
        <v>25</v>
      </c>
      <c r="X1" t="s">
        <v>11</v>
      </c>
      <c r="Y1" t="s">
        <v>9</v>
      </c>
      <c r="Z1" t="s">
        <v>7</v>
      </c>
      <c r="AA1" t="s">
        <v>20</v>
      </c>
      <c r="AB1" t="s">
        <v>29</v>
      </c>
      <c r="AC1" t="s">
        <v>35</v>
      </c>
      <c r="AD1" t="s">
        <v>41</v>
      </c>
      <c r="AE1" t="s">
        <v>37</v>
      </c>
      <c r="AF1" t="s">
        <v>44</v>
      </c>
    </row>
    <row r="2" spans="1:32" x14ac:dyDescent="0.3">
      <c r="A2" t="s">
        <v>6</v>
      </c>
      <c r="B2">
        <v>0</v>
      </c>
      <c r="C2">
        <v>6</v>
      </c>
      <c r="D2">
        <v>3</v>
      </c>
      <c r="E2">
        <v>4</v>
      </c>
      <c r="F2">
        <v>2</v>
      </c>
      <c r="G2">
        <v>3</v>
      </c>
      <c r="H2">
        <v>1</v>
      </c>
      <c r="I2">
        <v>1</v>
      </c>
      <c r="J2">
        <v>1</v>
      </c>
      <c r="K2">
        <v>4</v>
      </c>
      <c r="L2">
        <v>4</v>
      </c>
      <c r="M2">
        <v>3</v>
      </c>
      <c r="O2" s="24" t="s">
        <v>214</v>
      </c>
      <c r="P2" s="24"/>
      <c r="Q2" s="24"/>
      <c r="T2" t="s">
        <v>6</v>
      </c>
    </row>
    <row r="3" spans="1:32" x14ac:dyDescent="0.3">
      <c r="A3" t="s">
        <v>13</v>
      </c>
      <c r="B3">
        <v>6</v>
      </c>
      <c r="C3">
        <v>0</v>
      </c>
      <c r="D3">
        <v>3</v>
      </c>
      <c r="E3">
        <v>4</v>
      </c>
      <c r="F3">
        <v>2</v>
      </c>
      <c r="G3">
        <v>3</v>
      </c>
      <c r="H3">
        <v>1</v>
      </c>
      <c r="I3">
        <v>1</v>
      </c>
      <c r="J3">
        <v>1</v>
      </c>
      <c r="K3">
        <v>2</v>
      </c>
      <c r="L3">
        <v>3</v>
      </c>
      <c r="M3">
        <v>2</v>
      </c>
      <c r="O3" s="23" t="s">
        <v>215</v>
      </c>
      <c r="P3" s="23"/>
      <c r="Q3" s="23"/>
      <c r="T3" t="s">
        <v>13</v>
      </c>
    </row>
    <row r="4" spans="1:32" x14ac:dyDescent="0.3">
      <c r="A4" t="s">
        <v>25</v>
      </c>
      <c r="B4">
        <v>3</v>
      </c>
      <c r="C4">
        <v>3</v>
      </c>
      <c r="D4">
        <v>0</v>
      </c>
      <c r="E4">
        <v>2</v>
      </c>
      <c r="F4" s="24">
        <v>1</v>
      </c>
      <c r="G4" s="26">
        <v>2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O4" s="26" t="s">
        <v>207</v>
      </c>
      <c r="P4" s="26"/>
      <c r="Q4" s="25"/>
      <c r="T4" t="s">
        <v>25</v>
      </c>
    </row>
    <row r="5" spans="1:32" x14ac:dyDescent="0.3">
      <c r="A5" t="s">
        <v>11</v>
      </c>
      <c r="B5">
        <v>4</v>
      </c>
      <c r="C5" s="28">
        <v>3</v>
      </c>
      <c r="D5" s="24">
        <v>1</v>
      </c>
      <c r="E5">
        <v>0</v>
      </c>
      <c r="F5">
        <v>2</v>
      </c>
      <c r="G5">
        <v>3</v>
      </c>
      <c r="H5">
        <v>1</v>
      </c>
      <c r="I5">
        <v>1</v>
      </c>
      <c r="J5">
        <v>0</v>
      </c>
      <c r="K5">
        <v>0</v>
      </c>
      <c r="L5">
        <v>3</v>
      </c>
      <c r="M5">
        <v>0</v>
      </c>
      <c r="O5" s="28" t="s">
        <v>208</v>
      </c>
      <c r="P5" s="28"/>
      <c r="Q5" s="28"/>
      <c r="T5" t="s">
        <v>11</v>
      </c>
    </row>
    <row r="6" spans="1:32" x14ac:dyDescent="0.3">
      <c r="A6" t="s">
        <v>9</v>
      </c>
      <c r="B6">
        <v>2</v>
      </c>
      <c r="C6">
        <v>2</v>
      </c>
      <c r="D6" s="3">
        <v>2</v>
      </c>
      <c r="E6" s="3">
        <v>1</v>
      </c>
      <c r="F6">
        <v>0</v>
      </c>
      <c r="G6">
        <v>2</v>
      </c>
      <c r="H6">
        <v>0</v>
      </c>
      <c r="I6">
        <v>0</v>
      </c>
      <c r="J6">
        <v>1</v>
      </c>
      <c r="K6">
        <v>0</v>
      </c>
      <c r="L6">
        <v>2</v>
      </c>
      <c r="M6">
        <v>2</v>
      </c>
      <c r="T6" t="s">
        <v>9</v>
      </c>
    </row>
    <row r="7" spans="1:32" x14ac:dyDescent="0.3">
      <c r="A7" t="s">
        <v>7</v>
      </c>
      <c r="B7">
        <v>3</v>
      </c>
      <c r="C7">
        <v>2</v>
      </c>
      <c r="D7" s="3">
        <v>2</v>
      </c>
      <c r="E7" s="3">
        <v>2</v>
      </c>
      <c r="F7" s="3">
        <v>1</v>
      </c>
      <c r="G7">
        <v>0</v>
      </c>
      <c r="H7" s="3">
        <v>1</v>
      </c>
      <c r="I7">
        <v>0</v>
      </c>
      <c r="J7">
        <v>1</v>
      </c>
      <c r="K7">
        <v>2</v>
      </c>
      <c r="L7">
        <v>2</v>
      </c>
      <c r="M7">
        <v>2</v>
      </c>
      <c r="T7" t="s">
        <v>7</v>
      </c>
      <c r="U7">
        <v>296800</v>
      </c>
    </row>
    <row r="8" spans="1:32" x14ac:dyDescent="0.3">
      <c r="A8" t="s">
        <v>20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T8" t="s">
        <v>20</v>
      </c>
    </row>
    <row r="9" spans="1:32" x14ac:dyDescent="0.3">
      <c r="A9" t="s">
        <v>29</v>
      </c>
      <c r="B9">
        <v>1</v>
      </c>
      <c r="C9">
        <v>1</v>
      </c>
      <c r="D9" s="24">
        <v>1</v>
      </c>
      <c r="E9" s="3">
        <v>1</v>
      </c>
      <c r="F9">
        <v>0</v>
      </c>
      <c r="G9" s="24">
        <v>1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T9" t="s">
        <v>29</v>
      </c>
    </row>
    <row r="10" spans="1:32" x14ac:dyDescent="0.3">
      <c r="A10" t="s">
        <v>35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T10" t="s">
        <v>35</v>
      </c>
    </row>
    <row r="11" spans="1:32" x14ac:dyDescent="0.3">
      <c r="A11" t="s">
        <v>41</v>
      </c>
      <c r="B11">
        <v>4</v>
      </c>
      <c r="C11">
        <v>3</v>
      </c>
      <c r="D11">
        <v>3</v>
      </c>
      <c r="E11">
        <v>3</v>
      </c>
      <c r="F11">
        <v>1</v>
      </c>
      <c r="G11">
        <v>0</v>
      </c>
      <c r="H11">
        <v>1</v>
      </c>
      <c r="I11">
        <v>0</v>
      </c>
      <c r="J11" s="23">
        <v>1</v>
      </c>
      <c r="K11">
        <v>0</v>
      </c>
      <c r="L11" s="23">
        <v>3</v>
      </c>
      <c r="M11" s="23">
        <v>2</v>
      </c>
      <c r="T11" t="s">
        <v>41</v>
      </c>
    </row>
    <row r="12" spans="1:32" x14ac:dyDescent="0.3">
      <c r="A12" t="s">
        <v>37</v>
      </c>
      <c r="B12">
        <v>5</v>
      </c>
      <c r="C12">
        <v>3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4</v>
      </c>
      <c r="L12">
        <v>0</v>
      </c>
      <c r="M12">
        <v>3</v>
      </c>
      <c r="T12" t="s">
        <v>37</v>
      </c>
    </row>
    <row r="13" spans="1:32" x14ac:dyDescent="0.3">
      <c r="A13" t="s">
        <v>44</v>
      </c>
      <c r="B13">
        <v>3</v>
      </c>
      <c r="C13">
        <v>2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 s="23">
        <v>1</v>
      </c>
      <c r="K13">
        <v>3</v>
      </c>
      <c r="L13" s="23">
        <v>2</v>
      </c>
      <c r="M13">
        <v>0</v>
      </c>
      <c r="T13" t="s">
        <v>44</v>
      </c>
    </row>
    <row r="14" spans="1:32" x14ac:dyDescent="0.3">
      <c r="B14">
        <f>SUM(B2:B13)</f>
        <v>33</v>
      </c>
      <c r="C14">
        <f t="shared" ref="C14:M14" si="0">SUM(C2:C13)</f>
        <v>25</v>
      </c>
      <c r="D14">
        <f t="shared" si="0"/>
        <v>18</v>
      </c>
      <c r="E14">
        <f t="shared" si="0"/>
        <v>19</v>
      </c>
      <c r="F14">
        <f t="shared" si="0"/>
        <v>9</v>
      </c>
      <c r="G14">
        <f t="shared" si="0"/>
        <v>15</v>
      </c>
      <c r="H14">
        <f t="shared" si="0"/>
        <v>7</v>
      </c>
      <c r="I14">
        <f t="shared" si="0"/>
        <v>4</v>
      </c>
      <c r="J14">
        <f t="shared" si="0"/>
        <v>9</v>
      </c>
      <c r="K14">
        <f t="shared" si="0"/>
        <v>15</v>
      </c>
      <c r="L14">
        <f t="shared" si="0"/>
        <v>21</v>
      </c>
      <c r="M14">
        <f t="shared" si="0"/>
        <v>16</v>
      </c>
    </row>
    <row r="16" spans="1:32" x14ac:dyDescent="0.3">
      <c r="A16" t="s">
        <v>6</v>
      </c>
      <c r="B16">
        <f t="shared" ref="B16:B27" si="1">B2/$B$14 * 100</f>
        <v>0</v>
      </c>
      <c r="C16">
        <f t="shared" ref="C16:C27" si="2">C2/$C$14 * 100</f>
        <v>24</v>
      </c>
      <c r="D16">
        <f>D2/$D$14 * 100</f>
        <v>16.666666666666664</v>
      </c>
      <c r="E16">
        <f>E2/$E$14 * 100</f>
        <v>21.052631578947366</v>
      </c>
      <c r="F16">
        <f>F2/$F$14 * 100</f>
        <v>22.222222222222221</v>
      </c>
      <c r="G16">
        <f>G2/$G$14 * 100</f>
        <v>20</v>
      </c>
      <c r="H16">
        <f>H2/$H$14* 100</f>
        <v>14.285714285714285</v>
      </c>
      <c r="I16">
        <f>I2/$I$14 * 100</f>
        <v>25</v>
      </c>
      <c r="J16">
        <f>J2/$J$14* 100</f>
        <v>11.111111111111111</v>
      </c>
      <c r="K16">
        <f>K2/$K$14* 100</f>
        <v>26.666666666666668</v>
      </c>
      <c r="L16">
        <f>L2/$L$14* 100</f>
        <v>19.047619047619047</v>
      </c>
      <c r="M16">
        <f>M2/$M$14* 100</f>
        <v>18.75</v>
      </c>
      <c r="T16" s="29" t="s">
        <v>209</v>
      </c>
    </row>
    <row r="17" spans="1:20" x14ac:dyDescent="0.3">
      <c r="A17" t="s">
        <v>13</v>
      </c>
      <c r="B17">
        <f t="shared" si="1"/>
        <v>18.181818181818183</v>
      </c>
      <c r="C17">
        <f t="shared" si="2"/>
        <v>0</v>
      </c>
      <c r="D17">
        <f>D3/$D$14 * 100</f>
        <v>16.666666666666664</v>
      </c>
      <c r="E17">
        <f>E3/$E$14 * 100</f>
        <v>21.052631578947366</v>
      </c>
      <c r="F17">
        <f>F3/$F$14 * 100</f>
        <v>22.222222222222221</v>
      </c>
      <c r="G17">
        <f>G3/$G$14 * 100</f>
        <v>20</v>
      </c>
      <c r="H17">
        <f>H3/$H$14* 100</f>
        <v>14.285714285714285</v>
      </c>
      <c r="I17">
        <f>I3/$I$14 * 100</f>
        <v>25</v>
      </c>
      <c r="J17">
        <f>J3/$J$14* 100</f>
        <v>11.111111111111111</v>
      </c>
      <c r="K17">
        <f>K3/$K$14* 100</f>
        <v>13.333333333333334</v>
      </c>
      <c r="L17">
        <f>L3/$L$14* 100</f>
        <v>14.285714285714285</v>
      </c>
      <c r="M17">
        <f>M3/$M$14* 100</f>
        <v>12.5</v>
      </c>
      <c r="T17" s="29" t="s">
        <v>210</v>
      </c>
    </row>
    <row r="18" spans="1:20" x14ac:dyDescent="0.3">
      <c r="A18" t="s">
        <v>25</v>
      </c>
      <c r="B18">
        <f t="shared" si="1"/>
        <v>9.0909090909090917</v>
      </c>
      <c r="C18">
        <f>C4/$C$14 * 100</f>
        <v>12</v>
      </c>
      <c r="D18">
        <f t="shared" ref="D18:D27" si="3">D4/$D$14 * 100</f>
        <v>0</v>
      </c>
      <c r="E18">
        <f t="shared" ref="E18:E27" si="4">E4/$E$14 * 100</f>
        <v>10.526315789473683</v>
      </c>
      <c r="F18" s="24">
        <f t="shared" ref="F18:F27" si="5">F4/$F$14 * 100</f>
        <v>11.111111111111111</v>
      </c>
      <c r="G18" s="26">
        <f t="shared" ref="G18:G27" si="6">G4/$G$14 * 100</f>
        <v>13.333333333333334</v>
      </c>
      <c r="H18">
        <f t="shared" ref="H18:H27" si="7">H4/$H$14* 100</f>
        <v>14.285714285714285</v>
      </c>
      <c r="I18">
        <f t="shared" ref="I18:I27" si="8">I4/$I$14 * 100</f>
        <v>25</v>
      </c>
      <c r="J18">
        <f t="shared" ref="J18:J27" si="9">J4/$J$14* 100</f>
        <v>11.111111111111111</v>
      </c>
      <c r="K18">
        <f t="shared" ref="K18:K27" si="10">K4/$K$14* 100</f>
        <v>0</v>
      </c>
      <c r="L18">
        <f t="shared" ref="L18:L27" si="11">L4/$L$14* 100</f>
        <v>4.7619047619047619</v>
      </c>
      <c r="M18">
        <f t="shared" ref="M18:M27" si="12">M4/$M$14* 100</f>
        <v>6.25</v>
      </c>
      <c r="T18" t="s">
        <v>211</v>
      </c>
    </row>
    <row r="19" spans="1:20" x14ac:dyDescent="0.3">
      <c r="A19" t="s">
        <v>11</v>
      </c>
      <c r="B19">
        <f t="shared" si="1"/>
        <v>12.121212121212121</v>
      </c>
      <c r="C19" s="28">
        <f t="shared" si="2"/>
        <v>12</v>
      </c>
      <c r="D19" s="24">
        <f t="shared" si="3"/>
        <v>5.5555555555555554</v>
      </c>
      <c r="E19">
        <f t="shared" si="4"/>
        <v>0</v>
      </c>
      <c r="F19">
        <f t="shared" si="5"/>
        <v>22.222222222222221</v>
      </c>
      <c r="G19">
        <f t="shared" si="6"/>
        <v>20</v>
      </c>
      <c r="H19">
        <f t="shared" si="7"/>
        <v>14.285714285714285</v>
      </c>
      <c r="I19">
        <f t="shared" si="8"/>
        <v>25</v>
      </c>
      <c r="J19">
        <f t="shared" si="9"/>
        <v>0</v>
      </c>
      <c r="K19">
        <f t="shared" si="10"/>
        <v>0</v>
      </c>
      <c r="L19">
        <f t="shared" si="11"/>
        <v>14.285714285714285</v>
      </c>
      <c r="M19">
        <f t="shared" si="12"/>
        <v>0</v>
      </c>
    </row>
    <row r="20" spans="1:20" x14ac:dyDescent="0.3">
      <c r="A20" t="s">
        <v>9</v>
      </c>
      <c r="B20">
        <f t="shared" si="1"/>
        <v>6.0606060606060606</v>
      </c>
      <c r="C20">
        <f t="shared" si="2"/>
        <v>8</v>
      </c>
      <c r="D20" s="3">
        <f t="shared" si="3"/>
        <v>11.111111111111111</v>
      </c>
      <c r="E20" s="3">
        <f t="shared" si="4"/>
        <v>5.2631578947368416</v>
      </c>
      <c r="F20">
        <f t="shared" si="5"/>
        <v>0</v>
      </c>
      <c r="G20">
        <f t="shared" si="6"/>
        <v>13.333333333333334</v>
      </c>
      <c r="H20">
        <f t="shared" si="7"/>
        <v>0</v>
      </c>
      <c r="I20">
        <f t="shared" si="8"/>
        <v>0</v>
      </c>
      <c r="J20">
        <f t="shared" si="9"/>
        <v>11.111111111111111</v>
      </c>
      <c r="K20">
        <f t="shared" si="10"/>
        <v>0</v>
      </c>
      <c r="L20">
        <f t="shared" si="11"/>
        <v>9.5238095238095237</v>
      </c>
      <c r="M20">
        <f t="shared" si="12"/>
        <v>12.5</v>
      </c>
      <c r="T20" t="s">
        <v>118</v>
      </c>
    </row>
    <row r="21" spans="1:20" x14ac:dyDescent="0.3">
      <c r="A21" t="s">
        <v>7</v>
      </c>
      <c r="B21">
        <f t="shared" si="1"/>
        <v>9.0909090909090917</v>
      </c>
      <c r="C21">
        <f t="shared" si="2"/>
        <v>8</v>
      </c>
      <c r="D21" s="3">
        <f t="shared" si="3"/>
        <v>11.111111111111111</v>
      </c>
      <c r="E21" s="3">
        <f t="shared" si="4"/>
        <v>10.526315789473683</v>
      </c>
      <c r="F21" s="3">
        <f t="shared" si="5"/>
        <v>11.111111111111111</v>
      </c>
      <c r="G21">
        <f t="shared" si="6"/>
        <v>0</v>
      </c>
      <c r="H21" s="3">
        <f t="shared" si="7"/>
        <v>14.285714285714285</v>
      </c>
      <c r="I21">
        <f t="shared" si="8"/>
        <v>0</v>
      </c>
      <c r="J21">
        <f t="shared" si="9"/>
        <v>11.111111111111111</v>
      </c>
      <c r="K21">
        <f t="shared" si="10"/>
        <v>13.333333333333334</v>
      </c>
      <c r="L21">
        <f t="shared" si="11"/>
        <v>9.5238095238095237</v>
      </c>
      <c r="M21">
        <f t="shared" si="12"/>
        <v>12.5</v>
      </c>
      <c r="T21" s="29" t="s">
        <v>212</v>
      </c>
    </row>
    <row r="22" spans="1:20" x14ac:dyDescent="0.3">
      <c r="A22" t="s">
        <v>20</v>
      </c>
      <c r="B22">
        <f t="shared" si="1"/>
        <v>3.0303030303030303</v>
      </c>
      <c r="C22">
        <f t="shared" si="2"/>
        <v>0</v>
      </c>
      <c r="D22">
        <f t="shared" si="3"/>
        <v>0</v>
      </c>
      <c r="E22">
        <f t="shared" si="4"/>
        <v>0</v>
      </c>
      <c r="F22">
        <f t="shared" si="5"/>
        <v>0</v>
      </c>
      <c r="G22">
        <f t="shared" si="6"/>
        <v>6.666666666666667</v>
      </c>
      <c r="H22">
        <f t="shared" si="7"/>
        <v>0</v>
      </c>
      <c r="I22">
        <f t="shared" si="8"/>
        <v>0</v>
      </c>
      <c r="J22">
        <f t="shared" si="9"/>
        <v>0</v>
      </c>
      <c r="K22">
        <f t="shared" si="10"/>
        <v>0</v>
      </c>
      <c r="L22">
        <f t="shared" si="11"/>
        <v>0</v>
      </c>
      <c r="M22">
        <f t="shared" si="12"/>
        <v>0</v>
      </c>
      <c r="T22" s="29" t="s">
        <v>213</v>
      </c>
    </row>
    <row r="23" spans="1:20" x14ac:dyDescent="0.3">
      <c r="A23" t="s">
        <v>29</v>
      </c>
      <c r="B23">
        <f t="shared" si="1"/>
        <v>3.0303030303030303</v>
      </c>
      <c r="C23">
        <f t="shared" si="2"/>
        <v>4</v>
      </c>
      <c r="D23" s="24">
        <f t="shared" si="3"/>
        <v>5.5555555555555554</v>
      </c>
      <c r="E23" s="3">
        <f t="shared" si="4"/>
        <v>5.2631578947368416</v>
      </c>
      <c r="F23">
        <f t="shared" si="5"/>
        <v>0</v>
      </c>
      <c r="G23" s="24">
        <f t="shared" si="6"/>
        <v>6.666666666666667</v>
      </c>
      <c r="H23">
        <f t="shared" si="7"/>
        <v>14.285714285714285</v>
      </c>
      <c r="I23">
        <f t="shared" si="8"/>
        <v>0</v>
      </c>
      <c r="J23">
        <f t="shared" si="9"/>
        <v>11.111111111111111</v>
      </c>
      <c r="K23">
        <f t="shared" si="10"/>
        <v>0</v>
      </c>
      <c r="L23">
        <f t="shared" si="11"/>
        <v>4.7619047619047619</v>
      </c>
      <c r="M23">
        <f t="shared" si="12"/>
        <v>6.25</v>
      </c>
    </row>
    <row r="24" spans="1:20" x14ac:dyDescent="0.3">
      <c r="A24" t="s">
        <v>35</v>
      </c>
      <c r="B24">
        <f t="shared" si="1"/>
        <v>3.0303030303030303</v>
      </c>
      <c r="C24">
        <f t="shared" si="2"/>
        <v>0</v>
      </c>
      <c r="D24">
        <f t="shared" si="3"/>
        <v>0</v>
      </c>
      <c r="E24">
        <f t="shared" si="4"/>
        <v>0</v>
      </c>
      <c r="F24">
        <f t="shared" si="5"/>
        <v>0</v>
      </c>
      <c r="G24">
        <f t="shared" si="6"/>
        <v>0</v>
      </c>
      <c r="H24">
        <f t="shared" si="7"/>
        <v>0</v>
      </c>
      <c r="I24">
        <f t="shared" si="8"/>
        <v>0</v>
      </c>
      <c r="J24">
        <f t="shared" si="9"/>
        <v>0</v>
      </c>
      <c r="K24">
        <f t="shared" si="10"/>
        <v>0</v>
      </c>
      <c r="L24">
        <f t="shared" si="11"/>
        <v>0</v>
      </c>
      <c r="M24">
        <f t="shared" si="12"/>
        <v>0</v>
      </c>
    </row>
    <row r="25" spans="1:20" x14ac:dyDescent="0.3">
      <c r="A25" t="s">
        <v>41</v>
      </c>
      <c r="B25">
        <f t="shared" si="1"/>
        <v>12.121212121212121</v>
      </c>
      <c r="C25">
        <f t="shared" si="2"/>
        <v>12</v>
      </c>
      <c r="D25">
        <f t="shared" si="3"/>
        <v>16.666666666666664</v>
      </c>
      <c r="E25">
        <f t="shared" si="4"/>
        <v>15.789473684210526</v>
      </c>
      <c r="F25">
        <f t="shared" si="5"/>
        <v>11.111111111111111</v>
      </c>
      <c r="G25">
        <f t="shared" si="6"/>
        <v>0</v>
      </c>
      <c r="H25">
        <f t="shared" si="7"/>
        <v>14.285714285714285</v>
      </c>
      <c r="I25">
        <f t="shared" si="8"/>
        <v>0</v>
      </c>
      <c r="J25" s="23">
        <f t="shared" si="9"/>
        <v>11.111111111111111</v>
      </c>
      <c r="K25">
        <f t="shared" si="10"/>
        <v>0</v>
      </c>
      <c r="L25" s="23">
        <f t="shared" si="11"/>
        <v>14.285714285714285</v>
      </c>
      <c r="M25" s="23">
        <f t="shared" si="12"/>
        <v>12.5</v>
      </c>
    </row>
    <row r="26" spans="1:20" x14ac:dyDescent="0.3">
      <c r="A26" t="s">
        <v>37</v>
      </c>
      <c r="B26">
        <f t="shared" si="1"/>
        <v>15.151515151515152</v>
      </c>
      <c r="C26">
        <f t="shared" si="2"/>
        <v>12</v>
      </c>
      <c r="D26">
        <f t="shared" si="3"/>
        <v>5.5555555555555554</v>
      </c>
      <c r="E26">
        <f t="shared" si="4"/>
        <v>5.2631578947368416</v>
      </c>
      <c r="F26">
        <f t="shared" si="5"/>
        <v>0</v>
      </c>
      <c r="G26">
        <f t="shared" si="6"/>
        <v>0</v>
      </c>
      <c r="H26">
        <f t="shared" si="7"/>
        <v>0</v>
      </c>
      <c r="I26">
        <f t="shared" si="8"/>
        <v>0</v>
      </c>
      <c r="J26">
        <f t="shared" si="9"/>
        <v>11.111111111111111</v>
      </c>
      <c r="K26">
        <f t="shared" si="10"/>
        <v>26.666666666666668</v>
      </c>
      <c r="L26">
        <f t="shared" si="11"/>
        <v>0</v>
      </c>
      <c r="M26">
        <f t="shared" si="12"/>
        <v>18.75</v>
      </c>
    </row>
    <row r="27" spans="1:20" x14ac:dyDescent="0.3">
      <c r="A27" t="s">
        <v>44</v>
      </c>
      <c r="B27">
        <f t="shared" si="1"/>
        <v>9.0909090909090917</v>
      </c>
      <c r="C27">
        <f t="shared" si="2"/>
        <v>8</v>
      </c>
      <c r="D27">
        <f t="shared" si="3"/>
        <v>11.111111111111111</v>
      </c>
      <c r="E27">
        <f t="shared" si="4"/>
        <v>5.2631578947368416</v>
      </c>
      <c r="F27">
        <f t="shared" si="5"/>
        <v>0</v>
      </c>
      <c r="G27">
        <f t="shared" si="6"/>
        <v>0</v>
      </c>
      <c r="H27">
        <f t="shared" si="7"/>
        <v>0</v>
      </c>
      <c r="I27">
        <f t="shared" si="8"/>
        <v>0</v>
      </c>
      <c r="J27" s="23">
        <f t="shared" si="9"/>
        <v>11.111111111111111</v>
      </c>
      <c r="K27">
        <f t="shared" si="10"/>
        <v>20</v>
      </c>
      <c r="L27" s="23">
        <f t="shared" si="11"/>
        <v>9.5238095238095237</v>
      </c>
      <c r="M27">
        <f t="shared" si="12"/>
        <v>0</v>
      </c>
    </row>
    <row r="31" spans="1:20" x14ac:dyDescent="0.3">
      <c r="B31" t="s">
        <v>6</v>
      </c>
      <c r="C31" t="s">
        <v>13</v>
      </c>
      <c r="D31" t="s">
        <v>25</v>
      </c>
      <c r="E31" t="s">
        <v>11</v>
      </c>
      <c r="F31" t="s">
        <v>9</v>
      </c>
      <c r="G31" t="s">
        <v>7</v>
      </c>
      <c r="H31" t="s">
        <v>20</v>
      </c>
      <c r="I31" t="s">
        <v>29</v>
      </c>
      <c r="J31" t="s">
        <v>35</v>
      </c>
      <c r="K31" t="s">
        <v>41</v>
      </c>
      <c r="L31" t="s">
        <v>37</v>
      </c>
      <c r="M31" t="s">
        <v>44</v>
      </c>
    </row>
    <row r="32" spans="1:20" x14ac:dyDescent="0.3">
      <c r="A32" t="s">
        <v>6</v>
      </c>
      <c r="B32" s="17">
        <v>0</v>
      </c>
      <c r="C32" s="17">
        <v>207</v>
      </c>
      <c r="D32" s="17">
        <v>54</v>
      </c>
      <c r="E32" s="17">
        <v>72</v>
      </c>
      <c r="F32" s="17">
        <v>36</v>
      </c>
      <c r="G32" s="17">
        <v>54</v>
      </c>
      <c r="H32" s="17">
        <v>18</v>
      </c>
      <c r="I32" s="17">
        <v>12.5</v>
      </c>
      <c r="J32" s="17">
        <v>33.5</v>
      </c>
      <c r="K32" s="17">
        <v>134</v>
      </c>
      <c r="L32" s="17">
        <v>167.5</v>
      </c>
      <c r="M32" s="17">
        <v>100.5</v>
      </c>
    </row>
    <row r="33" spans="1:13" x14ac:dyDescent="0.3">
      <c r="A33" t="s">
        <v>13</v>
      </c>
      <c r="B33" s="17">
        <v>170.5</v>
      </c>
      <c r="C33" s="17">
        <v>0</v>
      </c>
      <c r="D33" s="17">
        <v>59.25</v>
      </c>
      <c r="E33" s="17">
        <v>79</v>
      </c>
      <c r="F33" s="17">
        <v>39.5</v>
      </c>
      <c r="G33" s="17">
        <v>59.25</v>
      </c>
      <c r="H33" s="17">
        <v>19.75</v>
      </c>
      <c r="I33" s="17">
        <v>23.5</v>
      </c>
      <c r="J33" s="17">
        <v>4</v>
      </c>
      <c r="K33" s="17">
        <v>16</v>
      </c>
      <c r="L33" s="17">
        <v>20</v>
      </c>
      <c r="M33" s="17">
        <v>12</v>
      </c>
    </row>
    <row r="34" spans="1:13" x14ac:dyDescent="0.3">
      <c r="A34" t="s">
        <v>25</v>
      </c>
      <c r="B34" s="17">
        <v>21.54</v>
      </c>
      <c r="C34" s="17">
        <v>81.55</v>
      </c>
      <c r="D34" s="17">
        <v>0</v>
      </c>
      <c r="E34" s="17">
        <v>9</v>
      </c>
      <c r="F34" s="17">
        <v>4.5</v>
      </c>
      <c r="G34" s="17">
        <v>6.75</v>
      </c>
      <c r="H34" s="17">
        <v>2.25</v>
      </c>
      <c r="I34" s="17">
        <v>5.0599999999999996</v>
      </c>
      <c r="J34" s="17">
        <v>0.38</v>
      </c>
      <c r="K34" s="17">
        <v>1.5</v>
      </c>
      <c r="L34" s="17">
        <v>1.88</v>
      </c>
      <c r="M34" s="17">
        <v>1.1200000000000001</v>
      </c>
    </row>
    <row r="35" spans="1:13" x14ac:dyDescent="0.3">
      <c r="A35" t="s">
        <v>11</v>
      </c>
      <c r="B35" s="17">
        <v>16.149999999999999</v>
      </c>
      <c r="C35" s="17">
        <v>28.23</v>
      </c>
      <c r="D35" s="17">
        <v>6.75</v>
      </c>
      <c r="E35" s="17">
        <v>0</v>
      </c>
      <c r="F35" s="17">
        <v>4.5</v>
      </c>
      <c r="G35" s="17">
        <v>6.75</v>
      </c>
      <c r="H35" s="17">
        <v>2.25</v>
      </c>
      <c r="I35" s="17">
        <v>5.0599999999999996</v>
      </c>
      <c r="J35" s="17">
        <v>0.38</v>
      </c>
      <c r="K35" s="17">
        <v>1.5</v>
      </c>
      <c r="L35" s="17">
        <v>1.88</v>
      </c>
      <c r="M35" s="17">
        <v>1.1200000000000001</v>
      </c>
    </row>
    <row r="36" spans="1:13" x14ac:dyDescent="0.3">
      <c r="A36" t="s">
        <v>9</v>
      </c>
      <c r="B36" s="17">
        <v>21.54</v>
      </c>
      <c r="C36" s="17">
        <v>37.64</v>
      </c>
      <c r="D36" s="17">
        <v>6.75</v>
      </c>
      <c r="E36" s="17">
        <v>9</v>
      </c>
      <c r="F36" s="17">
        <v>0</v>
      </c>
      <c r="G36" s="17">
        <v>6.75</v>
      </c>
      <c r="H36" s="17">
        <v>2.25</v>
      </c>
      <c r="I36" s="17">
        <v>1.69</v>
      </c>
      <c r="J36" s="17">
        <v>0.38</v>
      </c>
      <c r="K36" s="17">
        <v>1.5</v>
      </c>
      <c r="L36" s="17">
        <v>1.88</v>
      </c>
      <c r="M36" s="17">
        <v>1.1200000000000001</v>
      </c>
    </row>
    <row r="37" spans="1:13" x14ac:dyDescent="0.3">
      <c r="A37" t="s">
        <v>7</v>
      </c>
      <c r="B37" s="17">
        <v>95.12</v>
      </c>
      <c r="C37" s="17">
        <v>59.59</v>
      </c>
      <c r="D37" s="17">
        <v>6.75</v>
      </c>
      <c r="E37" s="17">
        <v>9</v>
      </c>
      <c r="F37" s="17">
        <v>4.5</v>
      </c>
      <c r="G37" s="17">
        <v>0</v>
      </c>
      <c r="H37" s="17">
        <v>2.25</v>
      </c>
      <c r="I37" s="17">
        <v>1.69</v>
      </c>
      <c r="J37" s="17">
        <v>0.38</v>
      </c>
      <c r="K37" s="17">
        <v>1.5</v>
      </c>
      <c r="L37" s="17">
        <v>1.88</v>
      </c>
      <c r="M37" s="17">
        <v>1.1200000000000001</v>
      </c>
    </row>
    <row r="38" spans="1:13" x14ac:dyDescent="0.3">
      <c r="A38" t="s">
        <v>20</v>
      </c>
      <c r="B38" s="17">
        <v>16.149999999999999</v>
      </c>
      <c r="C38" s="17">
        <v>0</v>
      </c>
      <c r="D38" s="17">
        <v>0</v>
      </c>
      <c r="E38" s="17">
        <v>0</v>
      </c>
      <c r="F38" s="17">
        <v>0</v>
      </c>
      <c r="G38" s="2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</row>
    <row r="39" spans="1:13" x14ac:dyDescent="0.3">
      <c r="A39" t="s">
        <v>29</v>
      </c>
      <c r="B39" s="17">
        <v>11</v>
      </c>
      <c r="C39" s="17">
        <v>22.5</v>
      </c>
      <c r="D39" s="17">
        <v>9</v>
      </c>
      <c r="E39" s="17">
        <v>12</v>
      </c>
      <c r="F39" s="17">
        <v>0</v>
      </c>
      <c r="G39" s="17">
        <v>9</v>
      </c>
      <c r="H39" s="17">
        <v>3</v>
      </c>
      <c r="I39" s="17">
        <v>0</v>
      </c>
      <c r="J39" s="17">
        <v>0.25</v>
      </c>
      <c r="K39" s="17">
        <v>1</v>
      </c>
      <c r="L39" s="17">
        <v>1.25</v>
      </c>
      <c r="M39" s="17">
        <v>0.75</v>
      </c>
    </row>
    <row r="40" spans="1:13" x14ac:dyDescent="0.3">
      <c r="A40" t="s">
        <v>35</v>
      </c>
      <c r="B40" s="17">
        <v>53.69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</row>
    <row r="41" spans="1:13" x14ac:dyDescent="0.3">
      <c r="A41" t="s">
        <v>41</v>
      </c>
      <c r="B41" s="17">
        <v>50.34</v>
      </c>
      <c r="C41" s="17">
        <v>4.71</v>
      </c>
      <c r="D41" s="17">
        <v>0.26</v>
      </c>
      <c r="E41" s="17">
        <v>0.35</v>
      </c>
      <c r="F41" s="17">
        <v>0.17</v>
      </c>
      <c r="G41" s="17">
        <v>0.26</v>
      </c>
      <c r="H41" s="17">
        <v>0.09</v>
      </c>
      <c r="I41" s="17">
        <v>0.17</v>
      </c>
      <c r="J41" s="17">
        <v>3.75</v>
      </c>
      <c r="K41" s="17">
        <v>0</v>
      </c>
      <c r="L41" s="17">
        <v>18.75</v>
      </c>
      <c r="M41" s="17">
        <v>11.25</v>
      </c>
    </row>
    <row r="42" spans="1:13" x14ac:dyDescent="0.3">
      <c r="A42" t="s">
        <v>37</v>
      </c>
      <c r="B42" s="17">
        <v>60.41</v>
      </c>
      <c r="C42" s="17">
        <v>5.65</v>
      </c>
      <c r="D42" s="17">
        <v>0.31</v>
      </c>
      <c r="E42" s="17">
        <v>0.21</v>
      </c>
      <c r="F42" s="17">
        <v>0.21</v>
      </c>
      <c r="G42" s="17">
        <v>0.31</v>
      </c>
      <c r="H42" s="17">
        <v>0.1</v>
      </c>
      <c r="I42" s="17">
        <v>0.21</v>
      </c>
      <c r="J42" s="17">
        <v>4.5</v>
      </c>
      <c r="K42" s="17">
        <v>18</v>
      </c>
      <c r="L42" s="17">
        <v>0</v>
      </c>
      <c r="M42" s="17">
        <v>13.5</v>
      </c>
    </row>
    <row r="43" spans="1:13" x14ac:dyDescent="0.3">
      <c r="A43" t="s">
        <v>44</v>
      </c>
      <c r="B43" s="17">
        <v>33.56</v>
      </c>
      <c r="C43" s="17">
        <v>3.14</v>
      </c>
      <c r="D43" s="17">
        <v>0.17</v>
      </c>
      <c r="E43" s="17">
        <v>0.23</v>
      </c>
      <c r="F43" s="17">
        <v>0.12</v>
      </c>
      <c r="G43" s="17">
        <v>0.17</v>
      </c>
      <c r="H43" s="17">
        <v>0.06</v>
      </c>
      <c r="I43" s="17">
        <v>0.12</v>
      </c>
      <c r="J43" s="17">
        <v>2.5</v>
      </c>
      <c r="K43" s="17">
        <v>10</v>
      </c>
      <c r="L43" s="17">
        <v>12.5</v>
      </c>
      <c r="M43" s="17">
        <v>0</v>
      </c>
    </row>
    <row r="44" spans="1:13" x14ac:dyDescent="0.3">
      <c r="B44">
        <f>SUM(B32:B43)</f>
        <v>550</v>
      </c>
      <c r="C44">
        <f t="shared" ref="C44:M44" si="13">SUM(C32:C43)</f>
        <v>450.00999999999993</v>
      </c>
      <c r="D44">
        <f t="shared" si="13"/>
        <v>143.23999999999998</v>
      </c>
      <c r="E44">
        <f t="shared" si="13"/>
        <v>190.79</v>
      </c>
      <c r="F44">
        <f t="shared" si="13"/>
        <v>89.5</v>
      </c>
      <c r="G44">
        <f t="shared" si="13"/>
        <v>143.23999999999998</v>
      </c>
      <c r="H44">
        <f t="shared" si="13"/>
        <v>50.000000000000007</v>
      </c>
      <c r="I44">
        <f t="shared" si="13"/>
        <v>50</v>
      </c>
      <c r="J44">
        <f t="shared" si="13"/>
        <v>50.02000000000001</v>
      </c>
      <c r="K44">
        <f t="shared" si="13"/>
        <v>185</v>
      </c>
      <c r="L44">
        <f t="shared" si="13"/>
        <v>227.51999999999998</v>
      </c>
      <c r="M44">
        <f t="shared" si="13"/>
        <v>142.48000000000002</v>
      </c>
    </row>
    <row r="46" spans="1:13" x14ac:dyDescent="0.3">
      <c r="A46" t="s">
        <v>6</v>
      </c>
      <c r="B46">
        <f t="shared" ref="B46:B57" si="14">B32/$B$44 * 100</f>
        <v>0</v>
      </c>
      <c r="C46">
        <f>C32/$C$44 * 100</f>
        <v>45.998977800493329</v>
      </c>
      <c r="D46">
        <f>D32/$D$44 * 100</f>
        <v>37.698966769058927</v>
      </c>
      <c r="E46">
        <f>E32/$E$44 * 100</f>
        <v>37.737826930132606</v>
      </c>
      <c r="F46">
        <f>F32/$F$44 * 100</f>
        <v>40.22346368715084</v>
      </c>
      <c r="G46">
        <f>G32/$G$44 * 100</f>
        <v>37.698966769058927</v>
      </c>
      <c r="H46">
        <f>H32/$H$44* 100</f>
        <v>35.999999999999993</v>
      </c>
      <c r="I46">
        <f t="shared" ref="I46:I56" si="15">I32/$I$44 * 100</f>
        <v>25</v>
      </c>
      <c r="J46">
        <f t="shared" ref="J46:J57" si="16">J32/$J$44* 100</f>
        <v>66.973210715713705</v>
      </c>
      <c r="K46">
        <f t="shared" ref="K46:K57" si="17">K32/$K$44* 100</f>
        <v>72.432432432432435</v>
      </c>
      <c r="L46">
        <f t="shared" ref="L46:L57" si="18">L32/$L$44* 100</f>
        <v>73.61990154711674</v>
      </c>
      <c r="M46">
        <f t="shared" ref="M46:M57" si="19">M32/$M$44* 100</f>
        <v>70.536215609208298</v>
      </c>
    </row>
    <row r="47" spans="1:13" x14ac:dyDescent="0.3">
      <c r="A47" t="s">
        <v>13</v>
      </c>
      <c r="B47">
        <f t="shared" si="14"/>
        <v>31</v>
      </c>
      <c r="C47">
        <f>C33/$C$44 * 100</f>
        <v>0</v>
      </c>
      <c r="D47">
        <f>D33/$D$44 * 100</f>
        <v>41.36414409382855</v>
      </c>
      <c r="E47">
        <f>E33/$E$44 * 100</f>
        <v>41.406782326117728</v>
      </c>
      <c r="F47">
        <f>F33/$F$44 * 100</f>
        <v>44.134078212290504</v>
      </c>
      <c r="G47">
        <f>G33/$G$44 * 100</f>
        <v>41.36414409382855</v>
      </c>
      <c r="H47">
        <f>H33/$H$44* 100</f>
        <v>39.499999999999993</v>
      </c>
      <c r="I47">
        <f t="shared" si="15"/>
        <v>47</v>
      </c>
      <c r="J47">
        <f t="shared" si="16"/>
        <v>7.9968012794882029</v>
      </c>
      <c r="K47">
        <f t="shared" si="17"/>
        <v>8.6486486486486491</v>
      </c>
      <c r="L47">
        <f t="shared" si="18"/>
        <v>8.7904360056258799</v>
      </c>
      <c r="M47">
        <f t="shared" si="19"/>
        <v>8.4222346996069621</v>
      </c>
    </row>
    <row r="48" spans="1:13" x14ac:dyDescent="0.3">
      <c r="A48" t="s">
        <v>25</v>
      </c>
      <c r="B48">
        <f t="shared" si="14"/>
        <v>3.916363636363636</v>
      </c>
      <c r="C48">
        <f t="shared" ref="C48:C57" si="20">C34/$C$44 * 100</f>
        <v>18.121819515121889</v>
      </c>
      <c r="D48">
        <f t="shared" ref="D48:D57" si="21">D34/$D$44 * 100</f>
        <v>0</v>
      </c>
      <c r="E48">
        <f t="shared" ref="E48:E57" si="22">E34/$E$44 * 100</f>
        <v>4.7172283662665757</v>
      </c>
      <c r="F48">
        <f t="shared" ref="F48:F57" si="23">F34/$F$44 * 100</f>
        <v>5.027932960893855</v>
      </c>
      <c r="G48">
        <f t="shared" ref="G48:G57" si="24">G34/$G$44 * 100</f>
        <v>4.7123708461323659</v>
      </c>
      <c r="H48">
        <f t="shared" ref="H48:H57" si="25">H34/$H$44* 100</f>
        <v>4.4999999999999991</v>
      </c>
      <c r="I48">
        <f t="shared" si="15"/>
        <v>10.119999999999999</v>
      </c>
      <c r="J48">
        <f t="shared" si="16"/>
        <v>0.75969612155137922</v>
      </c>
      <c r="K48">
        <f t="shared" si="17"/>
        <v>0.81081081081081086</v>
      </c>
      <c r="L48">
        <f t="shared" si="18"/>
        <v>0.82630098452883272</v>
      </c>
      <c r="M48">
        <f t="shared" si="19"/>
        <v>0.78607523862998308</v>
      </c>
    </row>
    <row r="49" spans="1:13" x14ac:dyDescent="0.3">
      <c r="A49" t="s">
        <v>11</v>
      </c>
      <c r="B49">
        <f t="shared" si="14"/>
        <v>2.9363636363636361</v>
      </c>
      <c r="C49">
        <f t="shared" si="20"/>
        <v>6.2731939290238001</v>
      </c>
      <c r="D49">
        <f t="shared" si="21"/>
        <v>4.7123708461323659</v>
      </c>
      <c r="E49">
        <f t="shared" si="22"/>
        <v>0</v>
      </c>
      <c r="F49">
        <f t="shared" si="23"/>
        <v>5.027932960893855</v>
      </c>
      <c r="G49">
        <f t="shared" si="24"/>
        <v>4.7123708461323659</v>
      </c>
      <c r="H49">
        <f t="shared" si="25"/>
        <v>4.4999999999999991</v>
      </c>
      <c r="I49">
        <f t="shared" si="15"/>
        <v>10.119999999999999</v>
      </c>
      <c r="J49">
        <f t="shared" si="16"/>
        <v>0.75969612155137922</v>
      </c>
      <c r="K49">
        <f t="shared" si="17"/>
        <v>0.81081081081081086</v>
      </c>
      <c r="L49">
        <f t="shared" si="18"/>
        <v>0.82630098452883272</v>
      </c>
      <c r="M49">
        <f t="shared" si="19"/>
        <v>0.78607523862998308</v>
      </c>
    </row>
    <row r="50" spans="1:13" x14ac:dyDescent="0.3">
      <c r="A50" t="s">
        <v>9</v>
      </c>
      <c r="B50">
        <f t="shared" si="14"/>
        <v>3.916363636363636</v>
      </c>
      <c r="C50">
        <f t="shared" si="20"/>
        <v>8.3642585720317335</v>
      </c>
      <c r="D50">
        <f t="shared" si="21"/>
        <v>4.7123708461323659</v>
      </c>
      <c r="E50">
        <f t="shared" si="22"/>
        <v>4.7172283662665757</v>
      </c>
      <c r="F50">
        <f t="shared" si="23"/>
        <v>0</v>
      </c>
      <c r="G50">
        <f t="shared" si="24"/>
        <v>4.7123708461323659</v>
      </c>
      <c r="H50">
        <f t="shared" si="25"/>
        <v>4.4999999999999991</v>
      </c>
      <c r="I50">
        <f t="shared" si="15"/>
        <v>3.38</v>
      </c>
      <c r="J50">
        <f t="shared" si="16"/>
        <v>0.75969612155137922</v>
      </c>
      <c r="K50">
        <f t="shared" si="17"/>
        <v>0.81081081081081086</v>
      </c>
      <c r="L50">
        <f t="shared" si="18"/>
        <v>0.82630098452883272</v>
      </c>
      <c r="M50">
        <f t="shared" si="19"/>
        <v>0.78607523862998308</v>
      </c>
    </row>
    <row r="51" spans="1:13" x14ac:dyDescent="0.3">
      <c r="A51" t="s">
        <v>7</v>
      </c>
      <c r="B51">
        <f t="shared" si="14"/>
        <v>17.294545454545453</v>
      </c>
      <c r="C51">
        <f t="shared" si="20"/>
        <v>13.241927957156511</v>
      </c>
      <c r="D51">
        <f t="shared" si="21"/>
        <v>4.7123708461323659</v>
      </c>
      <c r="E51">
        <f t="shared" si="22"/>
        <v>4.7172283662665757</v>
      </c>
      <c r="F51">
        <f t="shared" si="23"/>
        <v>5.027932960893855</v>
      </c>
      <c r="G51">
        <f t="shared" si="24"/>
        <v>0</v>
      </c>
      <c r="H51">
        <f t="shared" si="25"/>
        <v>4.4999999999999991</v>
      </c>
      <c r="I51">
        <f t="shared" si="15"/>
        <v>3.38</v>
      </c>
      <c r="J51">
        <f t="shared" si="16"/>
        <v>0.75969612155137922</v>
      </c>
      <c r="K51">
        <f t="shared" si="17"/>
        <v>0.81081081081081086</v>
      </c>
      <c r="L51">
        <f t="shared" si="18"/>
        <v>0.82630098452883272</v>
      </c>
      <c r="M51">
        <f t="shared" si="19"/>
        <v>0.78607523862998308</v>
      </c>
    </row>
    <row r="52" spans="1:13" x14ac:dyDescent="0.3">
      <c r="A52" t="s">
        <v>20</v>
      </c>
      <c r="B52">
        <f t="shared" si="14"/>
        <v>2.9363636363636361</v>
      </c>
      <c r="C52">
        <f t="shared" si="20"/>
        <v>0</v>
      </c>
      <c r="D52">
        <f t="shared" si="21"/>
        <v>0</v>
      </c>
      <c r="E52">
        <f t="shared" si="22"/>
        <v>0</v>
      </c>
      <c r="F52">
        <f t="shared" si="23"/>
        <v>0</v>
      </c>
      <c r="G52">
        <f t="shared" si="24"/>
        <v>0</v>
      </c>
      <c r="H52">
        <f t="shared" si="25"/>
        <v>0</v>
      </c>
      <c r="I52">
        <f t="shared" si="15"/>
        <v>0</v>
      </c>
      <c r="J52">
        <f t="shared" si="16"/>
        <v>0</v>
      </c>
      <c r="K52">
        <f t="shared" si="17"/>
        <v>0</v>
      </c>
      <c r="L52">
        <f t="shared" si="18"/>
        <v>0</v>
      </c>
      <c r="M52">
        <f t="shared" si="19"/>
        <v>0</v>
      </c>
    </row>
    <row r="53" spans="1:13" x14ac:dyDescent="0.3">
      <c r="A53" t="s">
        <v>29</v>
      </c>
      <c r="B53">
        <f t="shared" si="14"/>
        <v>2</v>
      </c>
      <c r="C53">
        <f t="shared" si="20"/>
        <v>4.99988889135797</v>
      </c>
      <c r="D53">
        <f t="shared" si="21"/>
        <v>6.2831611281764888</v>
      </c>
      <c r="E53">
        <f t="shared" si="22"/>
        <v>6.2896378216887676</v>
      </c>
      <c r="F53">
        <f t="shared" si="23"/>
        <v>0</v>
      </c>
      <c r="G53">
        <f t="shared" si="24"/>
        <v>6.2831611281764888</v>
      </c>
      <c r="H53">
        <f t="shared" si="25"/>
        <v>5.9999999999999991</v>
      </c>
      <c r="I53">
        <f t="shared" si="15"/>
        <v>0</v>
      </c>
      <c r="J53">
        <f t="shared" si="16"/>
        <v>0.49980007996801268</v>
      </c>
      <c r="K53">
        <f t="shared" si="17"/>
        <v>0.54054054054054057</v>
      </c>
      <c r="L53">
        <f t="shared" si="18"/>
        <v>0.54940225035161749</v>
      </c>
      <c r="M53">
        <f t="shared" si="19"/>
        <v>0.52638966872543513</v>
      </c>
    </row>
    <row r="54" spans="1:13" x14ac:dyDescent="0.3">
      <c r="A54" t="s">
        <v>35</v>
      </c>
      <c r="B54">
        <f t="shared" si="14"/>
        <v>9.7618181818181817</v>
      </c>
      <c r="C54">
        <f t="shared" si="20"/>
        <v>0</v>
      </c>
      <c r="D54">
        <f t="shared" si="21"/>
        <v>0</v>
      </c>
      <c r="E54">
        <f t="shared" si="22"/>
        <v>0</v>
      </c>
      <c r="F54">
        <f t="shared" si="23"/>
        <v>0</v>
      </c>
      <c r="G54">
        <f t="shared" si="24"/>
        <v>0</v>
      </c>
      <c r="H54">
        <f t="shared" si="25"/>
        <v>0</v>
      </c>
      <c r="I54">
        <f t="shared" si="15"/>
        <v>0</v>
      </c>
      <c r="J54">
        <f t="shared" si="16"/>
        <v>0</v>
      </c>
      <c r="K54">
        <f t="shared" si="17"/>
        <v>0</v>
      </c>
      <c r="L54">
        <f t="shared" si="18"/>
        <v>0</v>
      </c>
      <c r="M54">
        <f t="shared" si="19"/>
        <v>0</v>
      </c>
    </row>
    <row r="55" spans="1:13" x14ac:dyDescent="0.3">
      <c r="A55" t="s">
        <v>41</v>
      </c>
      <c r="B55">
        <f t="shared" si="14"/>
        <v>9.1527272727272742</v>
      </c>
      <c r="C55">
        <f t="shared" si="20"/>
        <v>1.0466434079242686</v>
      </c>
      <c r="D55">
        <f t="shared" si="21"/>
        <v>0.18151354370287634</v>
      </c>
      <c r="E55">
        <f t="shared" si="22"/>
        <v>0.1834477697992557</v>
      </c>
      <c r="F55">
        <f t="shared" si="23"/>
        <v>0.18994413407821231</v>
      </c>
      <c r="G55">
        <f t="shared" si="24"/>
        <v>0.18151354370287634</v>
      </c>
      <c r="H55">
        <f t="shared" si="25"/>
        <v>0.17999999999999997</v>
      </c>
      <c r="I55">
        <f t="shared" si="15"/>
        <v>0.34</v>
      </c>
      <c r="J55">
        <f t="shared" si="16"/>
        <v>7.4970011995201906</v>
      </c>
      <c r="K55">
        <f t="shared" si="17"/>
        <v>0</v>
      </c>
      <c r="L55">
        <f t="shared" si="18"/>
        <v>8.2410337552742607</v>
      </c>
      <c r="M55">
        <f t="shared" si="19"/>
        <v>7.8958450308815262</v>
      </c>
    </row>
    <row r="56" spans="1:13" x14ac:dyDescent="0.3">
      <c r="A56" t="s">
        <v>37</v>
      </c>
      <c r="B56">
        <f t="shared" si="14"/>
        <v>10.983636363636364</v>
      </c>
      <c r="C56">
        <f t="shared" si="20"/>
        <v>1.2555276549410017</v>
      </c>
      <c r="D56">
        <f t="shared" si="21"/>
        <v>0.21641999441496793</v>
      </c>
      <c r="E56">
        <f t="shared" si="22"/>
        <v>0.11006866187955344</v>
      </c>
      <c r="F56">
        <f t="shared" si="23"/>
        <v>0.23463687150837986</v>
      </c>
      <c r="G56">
        <f t="shared" si="24"/>
        <v>0.21641999441496793</v>
      </c>
      <c r="H56">
        <f t="shared" si="25"/>
        <v>0.2</v>
      </c>
      <c r="I56">
        <f t="shared" si="15"/>
        <v>0.42</v>
      </c>
      <c r="J56">
        <f t="shared" si="16"/>
        <v>8.9964014394242291</v>
      </c>
      <c r="K56">
        <f t="shared" si="17"/>
        <v>9.7297297297297298</v>
      </c>
      <c r="L56">
        <f t="shared" si="18"/>
        <v>0</v>
      </c>
      <c r="M56">
        <f t="shared" si="19"/>
        <v>9.4750140370578322</v>
      </c>
    </row>
    <row r="57" spans="1:13" x14ac:dyDescent="0.3">
      <c r="A57" t="s">
        <v>44</v>
      </c>
      <c r="B57">
        <f t="shared" si="14"/>
        <v>6.1018181818181825</v>
      </c>
      <c r="C57">
        <f t="shared" si="20"/>
        <v>0.69776227194951235</v>
      </c>
      <c r="D57">
        <f t="shared" si="21"/>
        <v>0.11868193242111146</v>
      </c>
      <c r="E57">
        <f t="shared" si="22"/>
        <v>0.12055139158236806</v>
      </c>
      <c r="F57">
        <f t="shared" si="23"/>
        <v>0.13407821229050279</v>
      </c>
      <c r="G57">
        <f t="shared" si="24"/>
        <v>0.11868193242111146</v>
      </c>
      <c r="H57">
        <f t="shared" si="25"/>
        <v>0.11999999999999997</v>
      </c>
      <c r="I57">
        <f t="shared" ref="I57" si="26">I43/$I$14 * 100</f>
        <v>3</v>
      </c>
      <c r="J57">
        <f t="shared" si="16"/>
        <v>4.9980007996801268</v>
      </c>
      <c r="K57">
        <f t="shared" si="17"/>
        <v>5.4054054054054053</v>
      </c>
      <c r="L57">
        <f t="shared" si="18"/>
        <v>5.4940225035161747</v>
      </c>
      <c r="M57">
        <f t="shared" si="19"/>
        <v>0</v>
      </c>
    </row>
    <row r="59" spans="1:13" x14ac:dyDescent="0.3">
      <c r="A59" t="s">
        <v>6</v>
      </c>
      <c r="B59">
        <v>0</v>
      </c>
      <c r="C59">
        <v>36.170212765957451</v>
      </c>
      <c r="D59">
        <v>24.324324324324323</v>
      </c>
      <c r="E59">
        <v>27.27272727272727</v>
      </c>
      <c r="F59">
        <v>25.531914893617014</v>
      </c>
      <c r="G59">
        <v>18.947368421052627</v>
      </c>
      <c r="H59">
        <v>20</v>
      </c>
      <c r="I59">
        <v>25.373134328358208</v>
      </c>
      <c r="J59">
        <v>26.153846153846157</v>
      </c>
      <c r="K59">
        <v>39.080459770114942</v>
      </c>
      <c r="L59">
        <v>42.767295597484271</v>
      </c>
      <c r="M59">
        <v>37.226277372262771</v>
      </c>
    </row>
    <row r="60" spans="1:13" x14ac:dyDescent="0.3">
      <c r="A60" t="s">
        <v>13</v>
      </c>
      <c r="B60">
        <v>26.984126984126984</v>
      </c>
      <c r="C60">
        <v>0</v>
      </c>
      <c r="D60">
        <v>24.324324324324323</v>
      </c>
      <c r="E60">
        <v>27.27272727272727</v>
      </c>
      <c r="F60">
        <v>25.531914893617014</v>
      </c>
      <c r="G60">
        <v>18.947368421052627</v>
      </c>
      <c r="H60">
        <v>20</v>
      </c>
      <c r="I60">
        <v>25.373134328358208</v>
      </c>
      <c r="J60">
        <v>12.30769230769231</v>
      </c>
      <c r="K60">
        <v>9.1954022988505759</v>
      </c>
      <c r="L60">
        <v>15.094339622641511</v>
      </c>
      <c r="M60">
        <v>11.678832116788323</v>
      </c>
    </row>
    <row r="61" spans="1:13" x14ac:dyDescent="0.3">
      <c r="A61" t="s">
        <v>25</v>
      </c>
      <c r="B61">
        <v>9.5238095238095237</v>
      </c>
      <c r="C61">
        <v>12.765957446808512</v>
      </c>
      <c r="D61">
        <v>0</v>
      </c>
      <c r="E61">
        <v>13.636363636363635</v>
      </c>
      <c r="F61">
        <v>10.638297872340424</v>
      </c>
      <c r="G61">
        <v>10.526315789473681</v>
      </c>
      <c r="H61">
        <v>14.117647058823529</v>
      </c>
      <c r="I61">
        <v>17.910447761194032</v>
      </c>
      <c r="J61">
        <v>4.6153846153846159</v>
      </c>
      <c r="K61">
        <v>0</v>
      </c>
      <c r="L61">
        <v>1.8867924528301887</v>
      </c>
      <c r="M61">
        <v>2.1897810218978102</v>
      </c>
    </row>
    <row r="62" spans="1:13" x14ac:dyDescent="0.3">
      <c r="A62" t="s">
        <v>11</v>
      </c>
      <c r="B62">
        <v>10.582010582010582</v>
      </c>
      <c r="C62">
        <v>8.5106382978723438</v>
      </c>
      <c r="D62">
        <v>6.756756756756757</v>
      </c>
      <c r="E62">
        <v>0</v>
      </c>
      <c r="F62">
        <v>25.531914893617014</v>
      </c>
      <c r="G62">
        <v>18.947368421052627</v>
      </c>
      <c r="H62">
        <v>14.117647058823529</v>
      </c>
      <c r="I62">
        <v>17.910447761194032</v>
      </c>
      <c r="J62">
        <v>0</v>
      </c>
      <c r="K62">
        <v>0</v>
      </c>
      <c r="L62">
        <v>5.6603773584905657</v>
      </c>
      <c r="M62">
        <v>0</v>
      </c>
    </row>
    <row r="63" spans="1:13" x14ac:dyDescent="0.3">
      <c r="A63" t="s">
        <v>9</v>
      </c>
      <c r="B63">
        <v>5.2910052910052912</v>
      </c>
      <c r="C63">
        <v>8.5106382978723421</v>
      </c>
      <c r="D63">
        <v>10.810810810810812</v>
      </c>
      <c r="E63">
        <v>4.5454545454545459</v>
      </c>
      <c r="F63">
        <v>0</v>
      </c>
      <c r="G63">
        <v>12.631578947368419</v>
      </c>
      <c r="H63">
        <v>0</v>
      </c>
      <c r="I63">
        <v>0</v>
      </c>
      <c r="J63">
        <v>4.6153846153846159</v>
      </c>
      <c r="K63">
        <v>0</v>
      </c>
      <c r="L63">
        <v>3.7735849056603774</v>
      </c>
      <c r="M63">
        <v>4.3795620437956204</v>
      </c>
    </row>
    <row r="64" spans="1:13" x14ac:dyDescent="0.3">
      <c r="A64" t="s">
        <v>7</v>
      </c>
      <c r="B64">
        <v>13.492063492063492</v>
      </c>
      <c r="C64">
        <v>8.5106382978723421</v>
      </c>
      <c r="D64">
        <v>10.810810810810812</v>
      </c>
      <c r="E64">
        <v>9.0909090909090917</v>
      </c>
      <c r="F64">
        <v>3.1914893617021267</v>
      </c>
      <c r="G64">
        <v>0</v>
      </c>
      <c r="H64">
        <v>9.4117647058823533</v>
      </c>
      <c r="I64">
        <v>0</v>
      </c>
      <c r="J64">
        <v>4.6153846153846159</v>
      </c>
      <c r="K64">
        <v>3.4482758620689653</v>
      </c>
      <c r="L64">
        <v>3.7735849056603774</v>
      </c>
      <c r="M64">
        <v>4.3795620437956204</v>
      </c>
    </row>
    <row r="65" spans="1:13" x14ac:dyDescent="0.3">
      <c r="A65" t="s">
        <v>20</v>
      </c>
      <c r="B65">
        <v>2.6455026455026456</v>
      </c>
      <c r="C65">
        <v>0</v>
      </c>
      <c r="D65">
        <v>0</v>
      </c>
      <c r="E65">
        <v>0</v>
      </c>
      <c r="F65">
        <v>0</v>
      </c>
      <c r="G65">
        <v>6.3157894736842097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t="s">
        <v>29</v>
      </c>
      <c r="B66">
        <v>0.79365079365079361</v>
      </c>
      <c r="C66">
        <v>2.836879432624114</v>
      </c>
      <c r="D66">
        <v>6.756756756756757</v>
      </c>
      <c r="E66">
        <v>4.5454545454545459</v>
      </c>
      <c r="F66">
        <v>0</v>
      </c>
      <c r="G66">
        <v>4.2105263157894726</v>
      </c>
      <c r="H66">
        <v>11.76470588235294</v>
      </c>
      <c r="I66">
        <v>0</v>
      </c>
      <c r="J66">
        <v>4.6153846153846159</v>
      </c>
      <c r="K66">
        <v>0</v>
      </c>
      <c r="L66">
        <v>1.8867924528301887</v>
      </c>
      <c r="M66">
        <v>2.1897810218978102</v>
      </c>
    </row>
    <row r="67" spans="1:13" x14ac:dyDescent="0.3">
      <c r="A67" t="s">
        <v>35</v>
      </c>
      <c r="B67">
        <v>3.1746031746031744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t="s">
        <v>41</v>
      </c>
      <c r="B68">
        <v>10.582010582010582</v>
      </c>
      <c r="C68">
        <v>8.5106382978723438</v>
      </c>
      <c r="D68">
        <v>6.0810810810810807</v>
      </c>
      <c r="E68">
        <v>5.1136363636363624</v>
      </c>
      <c r="F68">
        <v>3.1914893617021267</v>
      </c>
      <c r="G68">
        <v>3.1578947368421049</v>
      </c>
      <c r="H68">
        <v>3.5294117647058822</v>
      </c>
      <c r="I68">
        <v>4.477611940298508</v>
      </c>
      <c r="J68">
        <v>12.30769230769231</v>
      </c>
      <c r="K68">
        <v>0</v>
      </c>
      <c r="L68">
        <v>15.094339622641511</v>
      </c>
      <c r="M68">
        <v>11.678832116788323</v>
      </c>
    </row>
    <row r="69" spans="1:13" x14ac:dyDescent="0.3">
      <c r="A69" t="s">
        <v>37</v>
      </c>
      <c r="B69">
        <v>10.582010582010582</v>
      </c>
      <c r="C69">
        <v>8.5106382978723438</v>
      </c>
      <c r="D69">
        <v>6.0810810810810807</v>
      </c>
      <c r="E69">
        <v>5.1136363636363624</v>
      </c>
      <c r="F69">
        <v>3.1914893617021267</v>
      </c>
      <c r="G69">
        <v>3.1578947368421049</v>
      </c>
      <c r="H69">
        <v>3.5294117647058822</v>
      </c>
      <c r="I69">
        <v>4.477611940298508</v>
      </c>
      <c r="J69">
        <v>18.461538461538463</v>
      </c>
      <c r="K69">
        <v>27.586206896551722</v>
      </c>
      <c r="L69">
        <v>0</v>
      </c>
      <c r="M69">
        <v>26.277372262773724</v>
      </c>
    </row>
    <row r="70" spans="1:13" x14ac:dyDescent="0.3">
      <c r="A70" t="s">
        <v>44</v>
      </c>
      <c r="B70">
        <v>6.3492063492063506</v>
      </c>
      <c r="C70">
        <v>5.673758865248228</v>
      </c>
      <c r="D70">
        <v>4.0540540540540544</v>
      </c>
      <c r="E70">
        <v>3.4090909090909087</v>
      </c>
      <c r="F70">
        <v>3.1914893617021267</v>
      </c>
      <c r="G70">
        <v>3.1578947368421049</v>
      </c>
      <c r="H70">
        <v>3.5294117647058822</v>
      </c>
      <c r="I70">
        <v>4.477611940298508</v>
      </c>
      <c r="J70">
        <v>12.30769230769231</v>
      </c>
      <c r="K70">
        <v>20.689655172413794</v>
      </c>
      <c r="L70">
        <v>10.062893081761008</v>
      </c>
      <c r="M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C4A3-C6F4-46DB-A9FD-DE1FC1957AA5}">
  <dimension ref="A1:F17"/>
  <sheetViews>
    <sheetView workbookViewId="0">
      <selection activeCell="D15" sqref="A1:F17"/>
    </sheetView>
  </sheetViews>
  <sheetFormatPr defaultRowHeight="14.4" x14ac:dyDescent="0.3"/>
  <cols>
    <col min="3" max="3" width="18.109375" bestFit="1" customWidth="1"/>
    <col min="4" max="4" width="17.88671875" bestFit="1" customWidth="1"/>
    <col min="5" max="5" width="18.1093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18</v>
      </c>
      <c r="B2" t="s">
        <v>6</v>
      </c>
      <c r="C2" s="1">
        <v>45467.861111111109</v>
      </c>
      <c r="D2" t="s">
        <v>7</v>
      </c>
      <c r="E2" s="1">
        <v>45468.347222222219</v>
      </c>
      <c r="F2" t="s">
        <v>19</v>
      </c>
    </row>
    <row r="3" spans="1:6" x14ac:dyDescent="0.3">
      <c r="A3" t="s">
        <v>18</v>
      </c>
      <c r="B3" t="s">
        <v>7</v>
      </c>
      <c r="C3" s="1">
        <v>45468.430555555547</v>
      </c>
      <c r="D3" t="s">
        <v>20</v>
      </c>
      <c r="E3" s="1">
        <v>45468.555555555547</v>
      </c>
      <c r="F3" s="2" t="s">
        <v>21</v>
      </c>
    </row>
    <row r="4" spans="1:6" x14ac:dyDescent="0.3">
      <c r="A4" t="s">
        <v>18</v>
      </c>
      <c r="B4" t="s">
        <v>20</v>
      </c>
      <c r="C4" s="1">
        <v>45468.638888888891</v>
      </c>
      <c r="D4" t="s">
        <v>11</v>
      </c>
      <c r="E4" s="1">
        <v>45468.895833333343</v>
      </c>
      <c r="F4" t="s">
        <v>22</v>
      </c>
    </row>
    <row r="5" spans="1:6" x14ac:dyDescent="0.3">
      <c r="A5" t="s">
        <v>18</v>
      </c>
      <c r="B5" t="s">
        <v>11</v>
      </c>
      <c r="C5" s="1">
        <v>45468.979166666657</v>
      </c>
      <c r="D5" t="s">
        <v>13</v>
      </c>
      <c r="E5" s="1">
        <v>45469.142361111109</v>
      </c>
      <c r="F5" t="s">
        <v>14</v>
      </c>
    </row>
    <row r="6" spans="1:6" x14ac:dyDescent="0.3">
      <c r="A6" t="s">
        <v>18</v>
      </c>
      <c r="B6" t="s">
        <v>13</v>
      </c>
      <c r="C6" s="1">
        <v>45469.239583333343</v>
      </c>
      <c r="D6" t="s">
        <v>6</v>
      </c>
      <c r="E6" s="1">
        <v>45469.597222222219</v>
      </c>
      <c r="F6" t="s">
        <v>15</v>
      </c>
    </row>
    <row r="7" spans="1:6" x14ac:dyDescent="0.3">
      <c r="A7" t="s">
        <v>33</v>
      </c>
      <c r="B7" t="s">
        <v>6</v>
      </c>
      <c r="C7" s="1">
        <v>45468.333333333343</v>
      </c>
      <c r="D7" t="s">
        <v>13</v>
      </c>
      <c r="E7" s="1">
        <v>45468.729166666657</v>
      </c>
      <c r="F7" t="s">
        <v>24</v>
      </c>
    </row>
    <row r="8" spans="1:6" x14ac:dyDescent="0.3">
      <c r="A8" t="s">
        <v>33</v>
      </c>
      <c r="B8" t="s">
        <v>13</v>
      </c>
      <c r="C8" s="1">
        <v>45468.8125</v>
      </c>
      <c r="D8" t="s">
        <v>25</v>
      </c>
      <c r="E8" s="1">
        <v>45468.961805555547</v>
      </c>
      <c r="F8" t="s">
        <v>26</v>
      </c>
    </row>
    <row r="9" spans="1:6" x14ac:dyDescent="0.3">
      <c r="A9" t="s">
        <v>33</v>
      </c>
      <c r="B9" t="s">
        <v>25</v>
      </c>
      <c r="C9" s="1">
        <v>45469.045138888891</v>
      </c>
      <c r="D9" t="s">
        <v>13</v>
      </c>
      <c r="E9" s="1">
        <v>45469.201388888891</v>
      </c>
      <c r="F9" t="s">
        <v>27</v>
      </c>
    </row>
    <row r="10" spans="1:6" x14ac:dyDescent="0.3">
      <c r="A10" t="s">
        <v>33</v>
      </c>
      <c r="B10" t="s">
        <v>13</v>
      </c>
      <c r="C10" s="1">
        <v>45469.291666666657</v>
      </c>
      <c r="D10" t="s">
        <v>6</v>
      </c>
      <c r="E10" s="1">
        <v>45469.649305555547</v>
      </c>
      <c r="F10" t="s">
        <v>15</v>
      </c>
    </row>
    <row r="11" spans="1:6" x14ac:dyDescent="0.3">
      <c r="A11" t="s">
        <v>34</v>
      </c>
      <c r="B11" t="s">
        <v>6</v>
      </c>
      <c r="C11" s="1">
        <v>45467.579861111109</v>
      </c>
      <c r="D11" t="s">
        <v>35</v>
      </c>
      <c r="E11" s="1">
        <v>45467.711805555547</v>
      </c>
      <c r="F11" t="s">
        <v>36</v>
      </c>
    </row>
    <row r="12" spans="1:6" x14ac:dyDescent="0.3">
      <c r="A12" t="s">
        <v>34</v>
      </c>
      <c r="B12" t="s">
        <v>35</v>
      </c>
      <c r="C12" s="1">
        <v>45467.795138888891</v>
      </c>
      <c r="D12" t="s">
        <v>37</v>
      </c>
      <c r="E12" s="1">
        <v>45468.041666666657</v>
      </c>
      <c r="F12" t="s">
        <v>38</v>
      </c>
    </row>
    <row r="13" spans="1:6" x14ac:dyDescent="0.3">
      <c r="A13" t="s">
        <v>34</v>
      </c>
      <c r="B13" t="s">
        <v>37</v>
      </c>
      <c r="C13" s="1">
        <v>45468.333333333343</v>
      </c>
      <c r="D13" t="s">
        <v>6</v>
      </c>
      <c r="E13" s="1">
        <v>45468.704861111109</v>
      </c>
      <c r="F13" s="2" t="s">
        <v>39</v>
      </c>
    </row>
    <row r="14" spans="1:6" x14ac:dyDescent="0.3">
      <c r="A14" t="s">
        <v>43</v>
      </c>
      <c r="B14" t="s">
        <v>6</v>
      </c>
      <c r="C14" s="1">
        <v>45468.902777777781</v>
      </c>
      <c r="D14" t="s">
        <v>41</v>
      </c>
      <c r="E14" s="1">
        <v>45469.354166666657</v>
      </c>
      <c r="F14" t="s">
        <v>42</v>
      </c>
    </row>
    <row r="15" spans="1:6" x14ac:dyDescent="0.3">
      <c r="A15" t="s">
        <v>43</v>
      </c>
      <c r="B15" t="s">
        <v>41</v>
      </c>
      <c r="C15" s="1">
        <v>45469.447916666657</v>
      </c>
      <c r="D15" t="s">
        <v>44</v>
      </c>
      <c r="E15" s="1">
        <v>45469.510416666657</v>
      </c>
      <c r="F15" s="2" t="s">
        <v>45</v>
      </c>
    </row>
    <row r="16" spans="1:6" x14ac:dyDescent="0.3">
      <c r="A16" t="s">
        <v>43</v>
      </c>
      <c r="B16" t="s">
        <v>44</v>
      </c>
      <c r="C16" s="1">
        <v>45469.572916666657</v>
      </c>
      <c r="D16" t="s">
        <v>37</v>
      </c>
      <c r="E16" s="1">
        <v>45469.690972222219</v>
      </c>
      <c r="F16" s="3" t="s">
        <v>46</v>
      </c>
    </row>
    <row r="17" spans="1:6" x14ac:dyDescent="0.3">
      <c r="A17" t="s">
        <v>43</v>
      </c>
      <c r="B17" t="s">
        <v>37</v>
      </c>
      <c r="C17" s="1">
        <v>45469.833333333343</v>
      </c>
      <c r="D17" t="s">
        <v>6</v>
      </c>
      <c r="E17" s="1">
        <v>45470.204861111109</v>
      </c>
      <c r="F17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D917-4263-4C8A-AE97-624674D41664}">
  <dimension ref="A1:B13"/>
  <sheetViews>
    <sheetView workbookViewId="0">
      <selection activeCell="A4" sqref="A1:B13"/>
    </sheetView>
  </sheetViews>
  <sheetFormatPr defaultRowHeight="14.4" x14ac:dyDescent="0.3"/>
  <sheetData>
    <row r="1" spans="1:2" x14ac:dyDescent="0.3">
      <c r="A1" t="s">
        <v>49</v>
      </c>
      <c r="B1" t="s">
        <v>50</v>
      </c>
    </row>
    <row r="2" spans="1:2" x14ac:dyDescent="0.3">
      <c r="A2" t="s">
        <v>6</v>
      </c>
      <c r="B2" t="s">
        <v>51</v>
      </c>
    </row>
    <row r="3" spans="1:2" x14ac:dyDescent="0.3">
      <c r="A3" t="s">
        <v>13</v>
      </c>
      <c r="B3" t="s">
        <v>52</v>
      </c>
    </row>
    <row r="4" spans="1:2" x14ac:dyDescent="0.3">
      <c r="A4" t="s">
        <v>25</v>
      </c>
      <c r="B4" t="s">
        <v>53</v>
      </c>
    </row>
    <row r="5" spans="1:2" x14ac:dyDescent="0.3">
      <c r="A5" t="s">
        <v>11</v>
      </c>
      <c r="B5" t="s">
        <v>53</v>
      </c>
    </row>
    <row r="6" spans="1:2" x14ac:dyDescent="0.3">
      <c r="A6" t="s">
        <v>20</v>
      </c>
      <c r="B6" t="s">
        <v>53</v>
      </c>
    </row>
    <row r="7" spans="1:2" x14ac:dyDescent="0.3">
      <c r="A7" t="s">
        <v>7</v>
      </c>
      <c r="B7" t="s">
        <v>53</v>
      </c>
    </row>
    <row r="8" spans="1:2" x14ac:dyDescent="0.3">
      <c r="A8" t="s">
        <v>9</v>
      </c>
      <c r="B8" t="s">
        <v>53</v>
      </c>
    </row>
    <row r="9" spans="1:2" x14ac:dyDescent="0.3">
      <c r="A9" t="s">
        <v>29</v>
      </c>
      <c r="B9" t="s">
        <v>54</v>
      </c>
    </row>
    <row r="10" spans="1:2" x14ac:dyDescent="0.3">
      <c r="A10" t="s">
        <v>35</v>
      </c>
      <c r="B10" t="s">
        <v>56</v>
      </c>
    </row>
    <row r="11" spans="1:2" x14ac:dyDescent="0.3">
      <c r="A11" t="s">
        <v>44</v>
      </c>
      <c r="B11" t="s">
        <v>56</v>
      </c>
    </row>
    <row r="12" spans="1:2" x14ac:dyDescent="0.3">
      <c r="A12" t="s">
        <v>41</v>
      </c>
      <c r="B12" t="s">
        <v>56</v>
      </c>
    </row>
    <row r="13" spans="1:2" x14ac:dyDescent="0.3">
      <c r="A13" t="s">
        <v>37</v>
      </c>
      <c r="B1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224C-8A98-4A60-BE04-96B3664F003B}">
  <dimension ref="A1:B11"/>
  <sheetViews>
    <sheetView workbookViewId="0">
      <selection activeCell="P7" sqref="P7"/>
    </sheetView>
  </sheetViews>
  <sheetFormatPr defaultRowHeight="14.4" x14ac:dyDescent="0.3"/>
  <sheetData>
    <row r="1" spans="1:2" x14ac:dyDescent="0.3">
      <c r="A1" t="s">
        <v>49</v>
      </c>
      <c r="B1" t="s">
        <v>50</v>
      </c>
    </row>
    <row r="2" spans="1:2" x14ac:dyDescent="0.3">
      <c r="A2" t="s">
        <v>6</v>
      </c>
      <c r="B2" t="s">
        <v>51</v>
      </c>
    </row>
    <row r="3" spans="1:2" x14ac:dyDescent="0.3">
      <c r="A3" t="s">
        <v>13</v>
      </c>
      <c r="B3" t="s">
        <v>52</v>
      </c>
    </row>
    <row r="4" spans="1:2" x14ac:dyDescent="0.3">
      <c r="A4" t="s">
        <v>25</v>
      </c>
      <c r="B4" t="s">
        <v>53</v>
      </c>
    </row>
    <row r="5" spans="1:2" x14ac:dyDescent="0.3">
      <c r="A5" t="s">
        <v>11</v>
      </c>
      <c r="B5" t="s">
        <v>53</v>
      </c>
    </row>
    <row r="6" spans="1:2" x14ac:dyDescent="0.3">
      <c r="A6" t="s">
        <v>20</v>
      </c>
      <c r="B6" t="s">
        <v>53</v>
      </c>
    </row>
    <row r="7" spans="1:2" x14ac:dyDescent="0.3">
      <c r="A7" t="s">
        <v>7</v>
      </c>
      <c r="B7" t="s">
        <v>53</v>
      </c>
    </row>
    <row r="8" spans="1:2" x14ac:dyDescent="0.3">
      <c r="A8" t="s">
        <v>35</v>
      </c>
      <c r="B8" t="s">
        <v>56</v>
      </c>
    </row>
    <row r="9" spans="1:2" x14ac:dyDescent="0.3">
      <c r="A9" t="s">
        <v>44</v>
      </c>
      <c r="B9" t="s">
        <v>56</v>
      </c>
    </row>
    <row r="10" spans="1:2" x14ac:dyDescent="0.3">
      <c r="A10" t="s">
        <v>41</v>
      </c>
      <c r="B10" t="s">
        <v>56</v>
      </c>
    </row>
    <row r="11" spans="1:2" x14ac:dyDescent="0.3">
      <c r="A11" t="s">
        <v>37</v>
      </c>
      <c r="B1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00E4-9AA6-4BF3-9E1B-3C880BEC676C}">
  <dimension ref="A1:K9"/>
  <sheetViews>
    <sheetView workbookViewId="0">
      <selection activeCell="F25" sqref="F25"/>
    </sheetView>
  </sheetViews>
  <sheetFormatPr defaultRowHeight="14.4" x14ac:dyDescent="0.3"/>
  <sheetData>
    <row r="1" spans="1:11" x14ac:dyDescent="0.3">
      <c r="B1" t="s">
        <v>51</v>
      </c>
      <c r="C1" t="s">
        <v>53</v>
      </c>
      <c r="D1" t="s">
        <v>52</v>
      </c>
      <c r="E1" t="s">
        <v>56</v>
      </c>
      <c r="F1" t="s">
        <v>54</v>
      </c>
    </row>
    <row r="2" spans="1:11" x14ac:dyDescent="0.3">
      <c r="A2" t="s">
        <v>51</v>
      </c>
      <c r="B2">
        <v>0</v>
      </c>
      <c r="C2">
        <v>0.31</v>
      </c>
      <c r="D2">
        <v>0.31</v>
      </c>
      <c r="E2">
        <v>0.36</v>
      </c>
      <c r="F2">
        <v>0.02</v>
      </c>
    </row>
    <row r="3" spans="1:11" x14ac:dyDescent="0.3">
      <c r="A3" t="s">
        <v>53</v>
      </c>
      <c r="B3">
        <v>0.36</v>
      </c>
      <c r="C3">
        <v>0.18</v>
      </c>
      <c r="D3">
        <v>0.39500000000000002</v>
      </c>
      <c r="E3">
        <v>5.0000000000000001E-3</v>
      </c>
      <c r="F3">
        <v>0.06</v>
      </c>
    </row>
    <row r="4" spans="1:11" x14ac:dyDescent="0.3">
      <c r="A4" t="s">
        <v>52</v>
      </c>
      <c r="B4">
        <v>0.46</v>
      </c>
      <c r="C4">
        <v>0.46</v>
      </c>
      <c r="D4">
        <v>0</v>
      </c>
      <c r="E4">
        <v>0.03</v>
      </c>
      <c r="F4">
        <v>0.05</v>
      </c>
    </row>
    <row r="5" spans="1:11" x14ac:dyDescent="0.3">
      <c r="A5" t="s">
        <v>56</v>
      </c>
      <c r="B5">
        <v>0.67</v>
      </c>
      <c r="C5">
        <v>0.03</v>
      </c>
      <c r="D5">
        <v>0.08</v>
      </c>
      <c r="E5">
        <v>0.215</v>
      </c>
      <c r="F5">
        <v>5.0000000000000001E-3</v>
      </c>
    </row>
    <row r="6" spans="1:11" x14ac:dyDescent="0.3">
      <c r="A6" t="s">
        <v>54</v>
      </c>
      <c r="B6">
        <v>0.25</v>
      </c>
      <c r="C6">
        <v>0.27</v>
      </c>
      <c r="D6">
        <v>0.47</v>
      </c>
      <c r="E6">
        <v>0.01</v>
      </c>
      <c r="F6">
        <v>0</v>
      </c>
    </row>
    <row r="9" spans="1:11" x14ac:dyDescent="0.3">
      <c r="A9" s="18"/>
      <c r="I9" s="19"/>
      <c r="J9" s="19"/>
      <c r="K9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142F-FB28-4D82-B6CF-B87847351AA9}">
  <dimension ref="A1:E5"/>
  <sheetViews>
    <sheetView topLeftCell="A16" workbookViewId="0">
      <selection activeCell="H5" sqref="H5"/>
    </sheetView>
  </sheetViews>
  <sheetFormatPr defaultRowHeight="14.4" x14ac:dyDescent="0.3"/>
  <sheetData>
    <row r="1" spans="1:5" x14ac:dyDescent="0.3">
      <c r="B1" t="s">
        <v>51</v>
      </c>
      <c r="C1" t="s">
        <v>53</v>
      </c>
      <c r="D1" t="s">
        <v>52</v>
      </c>
      <c r="E1" t="s">
        <v>56</v>
      </c>
    </row>
    <row r="2" spans="1:5" x14ac:dyDescent="0.3">
      <c r="A2" t="s">
        <v>51</v>
      </c>
      <c r="B2">
        <v>0</v>
      </c>
      <c r="C2">
        <v>0.32</v>
      </c>
      <c r="D2">
        <v>0.31</v>
      </c>
      <c r="E2">
        <v>0.37</v>
      </c>
    </row>
    <row r="3" spans="1:5" x14ac:dyDescent="0.3">
      <c r="A3" t="s">
        <v>53</v>
      </c>
      <c r="B3">
        <v>0.38</v>
      </c>
      <c r="C3">
        <v>0.19</v>
      </c>
      <c r="D3">
        <v>0.43</v>
      </c>
      <c r="E3">
        <v>0</v>
      </c>
    </row>
    <row r="4" spans="1:5" x14ac:dyDescent="0.3">
      <c r="A4" t="s">
        <v>52</v>
      </c>
      <c r="B4">
        <v>0.49</v>
      </c>
      <c r="C4">
        <v>0.51</v>
      </c>
      <c r="D4">
        <v>0</v>
      </c>
      <c r="E4">
        <v>0</v>
      </c>
    </row>
    <row r="5" spans="1:5" x14ac:dyDescent="0.3">
      <c r="A5" t="s">
        <v>56</v>
      </c>
      <c r="B5">
        <v>0.74</v>
      </c>
      <c r="C5">
        <v>0</v>
      </c>
      <c r="D5">
        <v>0</v>
      </c>
      <c r="E5">
        <v>0.26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B951-D94A-493E-B5B1-91F4EF4EA645}">
  <dimension ref="A1:Z6"/>
  <sheetViews>
    <sheetView topLeftCell="D1" workbookViewId="0">
      <selection activeCell="J3" sqref="A1:Z6"/>
    </sheetView>
  </sheetViews>
  <sheetFormatPr defaultRowHeight="14.4" x14ac:dyDescent="0.3"/>
  <cols>
    <col min="1" max="1" width="10.109375" bestFit="1" customWidth="1"/>
  </cols>
  <sheetData>
    <row r="1" spans="1:26" x14ac:dyDescent="0.3"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</row>
    <row r="2" spans="1:26" x14ac:dyDescent="0.3">
      <c r="A2" t="s">
        <v>203</v>
      </c>
      <c r="B2">
        <v>0.01</v>
      </c>
      <c r="C2">
        <v>0.18</v>
      </c>
      <c r="D2">
        <v>0.2</v>
      </c>
      <c r="E2">
        <v>0.13</v>
      </c>
      <c r="F2">
        <v>0.02</v>
      </c>
      <c r="G2">
        <v>0.15</v>
      </c>
      <c r="H2">
        <v>0.02</v>
      </c>
      <c r="I2">
        <v>0.18</v>
      </c>
      <c r="J2">
        <f>F2</f>
        <v>0.02</v>
      </c>
      <c r="K2">
        <f>G2</f>
        <v>0.15</v>
      </c>
      <c r="L2">
        <f>H2</f>
        <v>0.02</v>
      </c>
      <c r="M2">
        <f>I2</f>
        <v>0.18</v>
      </c>
      <c r="N2">
        <f>F2*1/2+H2*1/2</f>
        <v>0.02</v>
      </c>
      <c r="O2">
        <f>N2</f>
        <v>0.02</v>
      </c>
      <c r="P2">
        <f>N2</f>
        <v>0.02</v>
      </c>
      <c r="Q2">
        <f>B2</f>
        <v>0.01</v>
      </c>
      <c r="R2">
        <f>N2</f>
        <v>0.02</v>
      </c>
      <c r="S2">
        <f>B2</f>
        <v>0.01</v>
      </c>
      <c r="T2">
        <f>D2*1/2+I2*1/2</f>
        <v>0.19</v>
      </c>
      <c r="U2">
        <f>B2</f>
        <v>0.01</v>
      </c>
      <c r="V2">
        <v>0.25</v>
      </c>
      <c r="W2">
        <f>N2</f>
        <v>0.02</v>
      </c>
      <c r="X2">
        <v>0.25</v>
      </c>
      <c r="Y2">
        <f>B2</f>
        <v>0.01</v>
      </c>
      <c r="Z2">
        <f>N2</f>
        <v>0.02</v>
      </c>
    </row>
    <row r="3" spans="1:26" x14ac:dyDescent="0.3">
      <c r="A3" t="s">
        <v>204</v>
      </c>
      <c r="B3">
        <v>0.83</v>
      </c>
      <c r="C3">
        <v>0.12</v>
      </c>
      <c r="D3">
        <v>0.06</v>
      </c>
      <c r="E3">
        <v>0.08</v>
      </c>
      <c r="F3">
        <v>0.78</v>
      </c>
      <c r="G3">
        <v>0.06</v>
      </c>
      <c r="H3">
        <v>0.7</v>
      </c>
      <c r="I3">
        <v>0.05</v>
      </c>
      <c r="J3">
        <f t="shared" ref="J3:J5" si="0">F3</f>
        <v>0.78</v>
      </c>
      <c r="K3">
        <f t="shared" ref="K3:K5" si="1">G3</f>
        <v>0.06</v>
      </c>
      <c r="L3">
        <f t="shared" ref="L3:M5" si="2">H3</f>
        <v>0.7</v>
      </c>
      <c r="M3">
        <f t="shared" si="2"/>
        <v>0.05</v>
      </c>
      <c r="N3">
        <f t="shared" ref="N3:N5" si="3">F3*1/2+H3*1/2</f>
        <v>0.74</v>
      </c>
      <c r="O3">
        <f t="shared" ref="O3:O5" si="4">N3</f>
        <v>0.74</v>
      </c>
      <c r="P3">
        <f t="shared" ref="P3:P5" si="5">N3</f>
        <v>0.74</v>
      </c>
      <c r="Q3">
        <f t="shared" ref="Q3:Q5" si="6">B3</f>
        <v>0.83</v>
      </c>
      <c r="R3">
        <f t="shared" ref="R3:R5" si="7">N3</f>
        <v>0.74</v>
      </c>
      <c r="S3">
        <f t="shared" ref="S3:S5" si="8">B3</f>
        <v>0.83</v>
      </c>
      <c r="T3">
        <f t="shared" ref="T3:T5" si="9">D3*1/2+I3*1/2</f>
        <v>5.5E-2</v>
      </c>
      <c r="U3">
        <f t="shared" ref="U3:U5" si="10">B3</f>
        <v>0.83</v>
      </c>
      <c r="V3">
        <v>0.25</v>
      </c>
      <c r="W3">
        <f t="shared" ref="W3:W5" si="11">N3</f>
        <v>0.74</v>
      </c>
      <c r="X3">
        <v>0.25</v>
      </c>
      <c r="Y3">
        <f t="shared" ref="Y3:Y5" si="12">B3</f>
        <v>0.83</v>
      </c>
      <c r="Z3">
        <f t="shared" ref="Z3:Z5" si="13">N3</f>
        <v>0.74</v>
      </c>
    </row>
    <row r="4" spans="1:26" x14ac:dyDescent="0.3">
      <c r="A4" t="s">
        <v>133</v>
      </c>
      <c r="B4">
        <v>0.1</v>
      </c>
      <c r="C4">
        <v>0.35000000000000003</v>
      </c>
      <c r="D4">
        <v>0.4</v>
      </c>
      <c r="E4">
        <v>0.35</v>
      </c>
      <c r="F4">
        <v>0.15000000000000002</v>
      </c>
      <c r="G4">
        <v>0.4</v>
      </c>
      <c r="H4">
        <v>0.11</v>
      </c>
      <c r="I4">
        <v>0.54</v>
      </c>
      <c r="J4">
        <f t="shared" si="0"/>
        <v>0.15000000000000002</v>
      </c>
      <c r="K4">
        <f t="shared" si="1"/>
        <v>0.4</v>
      </c>
      <c r="L4">
        <f t="shared" si="2"/>
        <v>0.11</v>
      </c>
      <c r="M4">
        <f t="shared" si="2"/>
        <v>0.54</v>
      </c>
      <c r="N4">
        <f t="shared" si="3"/>
        <v>0.13</v>
      </c>
      <c r="O4">
        <f t="shared" si="4"/>
        <v>0.13</v>
      </c>
      <c r="P4">
        <f t="shared" si="5"/>
        <v>0.13</v>
      </c>
      <c r="Q4">
        <f t="shared" si="6"/>
        <v>0.1</v>
      </c>
      <c r="R4">
        <f t="shared" si="7"/>
        <v>0.13</v>
      </c>
      <c r="S4">
        <f t="shared" si="8"/>
        <v>0.1</v>
      </c>
      <c r="T4">
        <f t="shared" si="9"/>
        <v>0.47000000000000003</v>
      </c>
      <c r="U4">
        <f t="shared" si="10"/>
        <v>0.1</v>
      </c>
      <c r="V4">
        <v>0.25</v>
      </c>
      <c r="W4">
        <f t="shared" si="11"/>
        <v>0.13</v>
      </c>
      <c r="X4">
        <v>0.25</v>
      </c>
      <c r="Y4">
        <f t="shared" si="12"/>
        <v>0.1</v>
      </c>
      <c r="Z4">
        <f t="shared" si="13"/>
        <v>0.13</v>
      </c>
    </row>
    <row r="5" spans="1:26" x14ac:dyDescent="0.3">
      <c r="A5" t="s">
        <v>126</v>
      </c>
      <c r="B5">
        <v>0.06</v>
      </c>
      <c r="C5">
        <v>0.35</v>
      </c>
      <c r="D5">
        <v>0.34</v>
      </c>
      <c r="E5">
        <v>0.44</v>
      </c>
      <c r="F5">
        <v>0.05</v>
      </c>
      <c r="G5">
        <v>0.39</v>
      </c>
      <c r="H5">
        <v>0.17</v>
      </c>
      <c r="I5">
        <v>0.22999999999999998</v>
      </c>
      <c r="J5">
        <f t="shared" si="0"/>
        <v>0.05</v>
      </c>
      <c r="K5">
        <f t="shared" si="1"/>
        <v>0.39</v>
      </c>
      <c r="L5">
        <f t="shared" si="2"/>
        <v>0.17</v>
      </c>
      <c r="M5">
        <f t="shared" si="2"/>
        <v>0.22999999999999998</v>
      </c>
      <c r="N5">
        <f t="shared" si="3"/>
        <v>0.11000000000000001</v>
      </c>
      <c r="O5">
        <f t="shared" si="4"/>
        <v>0.11000000000000001</v>
      </c>
      <c r="P5">
        <f t="shared" si="5"/>
        <v>0.11000000000000001</v>
      </c>
      <c r="Q5">
        <f t="shared" si="6"/>
        <v>0.06</v>
      </c>
      <c r="R5">
        <f t="shared" si="7"/>
        <v>0.11000000000000001</v>
      </c>
      <c r="S5">
        <f t="shared" si="8"/>
        <v>0.06</v>
      </c>
      <c r="T5">
        <f t="shared" si="9"/>
        <v>0.28500000000000003</v>
      </c>
      <c r="U5">
        <f t="shared" si="10"/>
        <v>0.06</v>
      </c>
      <c r="V5">
        <v>0.25</v>
      </c>
      <c r="W5">
        <f t="shared" si="11"/>
        <v>0.11000000000000001</v>
      </c>
      <c r="X5">
        <v>0.25</v>
      </c>
      <c r="Y5">
        <f t="shared" si="12"/>
        <v>0.06</v>
      </c>
      <c r="Z5">
        <f t="shared" si="13"/>
        <v>0.11000000000000001</v>
      </c>
    </row>
    <row r="6" spans="1:26" x14ac:dyDescent="0.3">
      <c r="B6">
        <f>SUM(B2:B5)</f>
        <v>1</v>
      </c>
      <c r="C6">
        <f t="shared" ref="C6:Z6" si="14">SUM(C2:C5)</f>
        <v>1</v>
      </c>
      <c r="D6">
        <f t="shared" si="14"/>
        <v>1</v>
      </c>
      <c r="E6">
        <f t="shared" si="14"/>
        <v>1</v>
      </c>
      <c r="F6">
        <f t="shared" si="14"/>
        <v>1</v>
      </c>
      <c r="G6">
        <f t="shared" si="14"/>
        <v>1</v>
      </c>
      <c r="H6">
        <f t="shared" si="14"/>
        <v>1</v>
      </c>
      <c r="I6">
        <f t="shared" si="14"/>
        <v>1</v>
      </c>
      <c r="J6">
        <f t="shared" si="14"/>
        <v>1</v>
      </c>
      <c r="K6">
        <f t="shared" si="14"/>
        <v>1</v>
      </c>
      <c r="L6">
        <f t="shared" si="14"/>
        <v>1</v>
      </c>
      <c r="M6">
        <f t="shared" si="14"/>
        <v>1</v>
      </c>
      <c r="N6">
        <f t="shared" si="14"/>
        <v>1</v>
      </c>
      <c r="O6">
        <f t="shared" si="14"/>
        <v>1</v>
      </c>
      <c r="P6">
        <f t="shared" si="14"/>
        <v>1</v>
      </c>
      <c r="Q6">
        <f t="shared" si="14"/>
        <v>1</v>
      </c>
      <c r="R6">
        <f t="shared" si="14"/>
        <v>1</v>
      </c>
      <c r="S6">
        <f t="shared" si="14"/>
        <v>1</v>
      </c>
      <c r="T6">
        <f t="shared" si="14"/>
        <v>1</v>
      </c>
      <c r="U6">
        <f t="shared" si="14"/>
        <v>1</v>
      </c>
      <c r="V6">
        <f t="shared" si="14"/>
        <v>1</v>
      </c>
      <c r="W6">
        <f t="shared" si="14"/>
        <v>1</v>
      </c>
      <c r="X6">
        <f t="shared" si="14"/>
        <v>1</v>
      </c>
      <c r="Y6">
        <f t="shared" si="14"/>
        <v>1</v>
      </c>
      <c r="Z6">
        <f t="shared" si="14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25AC-A06C-4C52-AD62-2A2FD0A04FC9}">
  <dimension ref="A1:I7"/>
  <sheetViews>
    <sheetView workbookViewId="0">
      <selection activeCell="E23" sqref="E23"/>
    </sheetView>
  </sheetViews>
  <sheetFormatPr defaultRowHeight="14.4" x14ac:dyDescent="0.3"/>
  <sheetData>
    <row r="1" spans="1:9" x14ac:dyDescent="0.3">
      <c r="A1" t="s">
        <v>70</v>
      </c>
      <c r="D1" s="11" t="s">
        <v>155</v>
      </c>
      <c r="E1" s="11"/>
    </row>
    <row r="2" spans="1:9" x14ac:dyDescent="0.3">
      <c r="A2" t="s">
        <v>49</v>
      </c>
      <c r="B2" t="s">
        <v>156</v>
      </c>
      <c r="C2" t="s">
        <v>164</v>
      </c>
      <c r="D2" t="s">
        <v>177</v>
      </c>
      <c r="E2" t="s">
        <v>51</v>
      </c>
      <c r="F2" t="s">
        <v>52</v>
      </c>
      <c r="G2" t="s">
        <v>53</v>
      </c>
      <c r="H2" t="s">
        <v>56</v>
      </c>
      <c r="I2" t="s">
        <v>54</v>
      </c>
    </row>
    <row r="3" spans="1:9" x14ac:dyDescent="0.3">
      <c r="A3" t="s">
        <v>35</v>
      </c>
      <c r="B3" t="s">
        <v>165</v>
      </c>
      <c r="C3" s="4">
        <v>0.16</v>
      </c>
      <c r="E3" s="17">
        <f>$C$3/$C$7</f>
        <v>0.27118644067796605</v>
      </c>
      <c r="F3" s="17">
        <v>0</v>
      </c>
      <c r="G3" s="17">
        <v>0</v>
      </c>
      <c r="H3" s="17">
        <v>0</v>
      </c>
      <c r="I3" s="17">
        <v>0</v>
      </c>
    </row>
    <row r="4" spans="1:9" x14ac:dyDescent="0.3">
      <c r="A4" t="s">
        <v>44</v>
      </c>
      <c r="B4" t="s">
        <v>166</v>
      </c>
      <c r="C4" s="4">
        <v>0.1</v>
      </c>
      <c r="D4" s="4">
        <v>0.1</v>
      </c>
      <c r="E4" s="17">
        <f>$C$4/$C$7</f>
        <v>0.16949152542372881</v>
      </c>
      <c r="F4" s="17">
        <f>$D$4/$D$7</f>
        <v>0.23255813953488375</v>
      </c>
      <c r="G4" s="17">
        <f t="shared" ref="G4:I4" si="0">$D$4/$D$7</f>
        <v>0.23255813953488375</v>
      </c>
      <c r="H4" s="17">
        <f t="shared" si="0"/>
        <v>0.23255813953488375</v>
      </c>
      <c r="I4" s="17">
        <f t="shared" si="0"/>
        <v>0.23255813953488375</v>
      </c>
    </row>
    <row r="5" spans="1:9" x14ac:dyDescent="0.3">
      <c r="A5" t="s">
        <v>41</v>
      </c>
      <c r="B5" t="s">
        <v>167</v>
      </c>
      <c r="C5" s="4">
        <v>0.15</v>
      </c>
      <c r="D5" s="4">
        <v>0.15</v>
      </c>
      <c r="E5" s="17">
        <f>$C$5/$C$7</f>
        <v>0.25423728813559315</v>
      </c>
      <c r="F5" s="17">
        <f>$D$5/$D$7</f>
        <v>0.34883720930232559</v>
      </c>
      <c r="G5" s="17">
        <f t="shared" ref="G5:I5" si="1">$D$5/$D$7</f>
        <v>0.34883720930232559</v>
      </c>
      <c r="H5" s="17">
        <f t="shared" si="1"/>
        <v>0.34883720930232559</v>
      </c>
      <c r="I5" s="17">
        <f t="shared" si="1"/>
        <v>0.34883720930232559</v>
      </c>
    </row>
    <row r="6" spans="1:9" x14ac:dyDescent="0.3">
      <c r="A6" t="s">
        <v>37</v>
      </c>
      <c r="B6" t="s">
        <v>168</v>
      </c>
      <c r="C6" s="4">
        <v>0.18</v>
      </c>
      <c r="D6" s="4">
        <v>0.18</v>
      </c>
      <c r="E6" s="17">
        <f>$C$6/$C$7</f>
        <v>0.30508474576271183</v>
      </c>
      <c r="F6" s="17">
        <f>$D$6/$D$7</f>
        <v>0.41860465116279066</v>
      </c>
      <c r="G6" s="17">
        <f t="shared" ref="G6:I6" si="2">$D$6/$D$7</f>
        <v>0.41860465116279066</v>
      </c>
      <c r="H6" s="17">
        <f t="shared" si="2"/>
        <v>0.41860465116279066</v>
      </c>
      <c r="I6" s="17">
        <f t="shared" si="2"/>
        <v>0.41860465116279066</v>
      </c>
    </row>
    <row r="7" spans="1:9" x14ac:dyDescent="0.3">
      <c r="C7" s="4">
        <f>SUM(C3:C6)</f>
        <v>0.59000000000000008</v>
      </c>
      <c r="D7" s="4">
        <f>SUM(D3:D6)</f>
        <v>0.43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92E9-F067-4A2E-8C61-552291C9811F}">
  <dimension ref="A1:I7"/>
  <sheetViews>
    <sheetView workbookViewId="0">
      <selection activeCell="F17" sqref="F17"/>
    </sheetView>
  </sheetViews>
  <sheetFormatPr defaultRowHeight="14.4" x14ac:dyDescent="0.3"/>
  <sheetData>
    <row r="1" spans="1:9" x14ac:dyDescent="0.3">
      <c r="A1" t="s">
        <v>70</v>
      </c>
      <c r="D1" s="11" t="s">
        <v>155</v>
      </c>
    </row>
    <row r="2" spans="1:9" x14ac:dyDescent="0.3">
      <c r="A2" t="s">
        <v>49</v>
      </c>
      <c r="B2" t="s">
        <v>156</v>
      </c>
      <c r="C2" t="s">
        <v>164</v>
      </c>
      <c r="D2" t="s">
        <v>177</v>
      </c>
      <c r="E2" t="s">
        <v>51</v>
      </c>
      <c r="F2" t="s">
        <v>52</v>
      </c>
      <c r="G2" t="s">
        <v>53</v>
      </c>
      <c r="H2" t="s">
        <v>56</v>
      </c>
      <c r="I2" t="s">
        <v>54</v>
      </c>
    </row>
    <row r="3" spans="1:9" x14ac:dyDescent="0.3">
      <c r="A3" t="s">
        <v>35</v>
      </c>
      <c r="B3" t="s">
        <v>165</v>
      </c>
      <c r="C3" s="4">
        <v>0.16</v>
      </c>
      <c r="E3" s="17">
        <f>$C$3/$C$7</f>
        <v>0.27118644067796605</v>
      </c>
      <c r="F3" s="17">
        <v>0</v>
      </c>
      <c r="G3" s="17">
        <v>0</v>
      </c>
      <c r="H3" s="17">
        <v>0</v>
      </c>
      <c r="I3" s="17">
        <v>0</v>
      </c>
    </row>
    <row r="4" spans="1:9" x14ac:dyDescent="0.3">
      <c r="A4" t="s">
        <v>44</v>
      </c>
      <c r="B4" t="s">
        <v>166</v>
      </c>
      <c r="C4" s="4">
        <v>0.1</v>
      </c>
      <c r="D4" s="4">
        <v>0.1</v>
      </c>
      <c r="E4" s="17">
        <f>$C$4/$C$7</f>
        <v>0.16949152542372881</v>
      </c>
      <c r="F4" s="17">
        <f>$D$4/$D$7</f>
        <v>0.23255813953488375</v>
      </c>
      <c r="G4" s="17">
        <v>0</v>
      </c>
      <c r="H4" s="17">
        <f t="shared" ref="H4" si="0">$D$4/$D$7</f>
        <v>0.23255813953488375</v>
      </c>
      <c r="I4" s="17">
        <v>0</v>
      </c>
    </row>
    <row r="5" spans="1:9" x14ac:dyDescent="0.3">
      <c r="A5" t="s">
        <v>41</v>
      </c>
      <c r="B5" t="s">
        <v>167</v>
      </c>
      <c r="C5" s="4">
        <v>0.15</v>
      </c>
      <c r="D5" s="4">
        <v>0.15</v>
      </c>
      <c r="E5" s="17">
        <f>$C$5/$C$7</f>
        <v>0.25423728813559315</v>
      </c>
      <c r="F5" s="17">
        <f>$D$5/$D$7</f>
        <v>0.34883720930232559</v>
      </c>
      <c r="G5" s="17">
        <v>0</v>
      </c>
      <c r="H5" s="17">
        <f t="shared" ref="H5" si="1">$D$5/$D$7</f>
        <v>0.34883720930232559</v>
      </c>
      <c r="I5" s="17">
        <v>0</v>
      </c>
    </row>
    <row r="6" spans="1:9" x14ac:dyDescent="0.3">
      <c r="A6" t="s">
        <v>37</v>
      </c>
      <c r="B6" t="s">
        <v>168</v>
      </c>
      <c r="C6" s="4">
        <v>0.18</v>
      </c>
      <c r="D6" s="4">
        <v>0.18</v>
      </c>
      <c r="E6" s="17">
        <f>$C$6/$C$7</f>
        <v>0.30508474576271183</v>
      </c>
      <c r="F6" s="17">
        <f>$D$6/$D$7</f>
        <v>0.41860465116279066</v>
      </c>
      <c r="G6" s="17">
        <v>0</v>
      </c>
      <c r="H6" s="17">
        <f t="shared" ref="H6" si="2">$D$6/$D$7</f>
        <v>0.41860465116279066</v>
      </c>
      <c r="I6" s="17">
        <v>0</v>
      </c>
    </row>
    <row r="7" spans="1:9" x14ac:dyDescent="0.3">
      <c r="C7" s="4">
        <f>SUM(C3:C6)</f>
        <v>0.59000000000000008</v>
      </c>
      <c r="D7" s="4">
        <f>SUM(D3:D6)</f>
        <v>0.43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15</vt:i4>
      </vt:variant>
    </vt:vector>
  </HeadingPairs>
  <TitlesOfParts>
    <vt:vector size="15" baseType="lpstr">
      <vt:lpstr>schedule</vt:lpstr>
      <vt:lpstr>schedule_small</vt:lpstr>
      <vt:lpstr>airports</vt:lpstr>
      <vt:lpstr>airports_small</vt:lpstr>
      <vt:lpstr>demand</vt:lpstr>
      <vt:lpstr>demand_small</vt:lpstr>
      <vt:lpstr>commodity</vt:lpstr>
      <vt:lpstr>AF</vt:lpstr>
      <vt:lpstr>AF_small</vt:lpstr>
      <vt:lpstr>SA</vt:lpstr>
      <vt:lpstr>SA_small</vt:lpstr>
      <vt:lpstr>demand_info</vt:lpstr>
      <vt:lpstr>commodity_info</vt:lpstr>
      <vt:lpstr>regional_info</vt:lpstr>
      <vt:lpstr>ODmatrix_test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</dc:creator>
  <cp:lastModifiedBy>Luuk Barbian</cp:lastModifiedBy>
  <dcterms:created xsi:type="dcterms:W3CDTF">2015-06-05T18:19:34Z</dcterms:created>
  <dcterms:modified xsi:type="dcterms:W3CDTF">2024-08-02T09:09:25Z</dcterms:modified>
</cp:coreProperties>
</file>